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дотаций'!$A$1:$AH$50</definedName>
  </definedNames>
  <calcPr calcId="125725"/>
</workbook>
</file>

<file path=xl/calcChain.xml><?xml version="1.0" encoding="utf-8"?>
<calcChain xmlns="http://schemas.openxmlformats.org/spreadsheetml/2006/main">
  <c r="AH26" i="7"/>
  <c r="AH33"/>
  <c r="AH34"/>
  <c r="AH35"/>
  <c r="AH36"/>
  <c r="AH37"/>
  <c r="AH40"/>
  <c r="AH42"/>
  <c r="AH44"/>
  <c r="AH46"/>
  <c r="AH20"/>
  <c r="AH10"/>
  <c r="AH11"/>
  <c r="AH13"/>
  <c r="AH15"/>
  <c r="AH16"/>
  <c r="AH17"/>
  <c r="AH9"/>
  <c r="AB26"/>
  <c r="AB33"/>
  <c r="AB34"/>
  <c r="AB35"/>
  <c r="AB36"/>
  <c r="AB37"/>
  <c r="AB40"/>
  <c r="AB42"/>
  <c r="AB44"/>
  <c r="AB46"/>
  <c r="AB20"/>
  <c r="AB10"/>
  <c r="AB11"/>
  <c r="AB13"/>
  <c r="AB15"/>
  <c r="AB16"/>
  <c r="AB17"/>
  <c r="AB9"/>
  <c r="Y8"/>
  <c r="Z8"/>
  <c r="Y19"/>
  <c r="Z19"/>
  <c r="AA8"/>
  <c r="AA19"/>
  <c r="R20"/>
  <c r="R18"/>
  <c r="AB18" s="1"/>
  <c r="AH18" s="1"/>
  <c r="R9"/>
  <c r="Q8"/>
  <c r="Q19"/>
  <c r="Q47" l="1"/>
  <c r="P20"/>
  <c r="O9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N10"/>
  <c r="N11"/>
  <c r="N12"/>
  <c r="N13"/>
  <c r="N14"/>
  <c r="N15"/>
  <c r="N16"/>
  <c r="N17"/>
  <c r="N18"/>
  <c r="N9"/>
  <c r="AA47"/>
  <c r="J23" i="8"/>
  <c r="J18"/>
  <c r="J11"/>
  <c r="J14"/>
  <c r="I44"/>
  <c r="J44" s="1"/>
  <c r="I19"/>
  <c r="J19" s="1"/>
  <c r="I20"/>
  <c r="J20" s="1"/>
  <c r="I21"/>
  <c r="J21" s="1"/>
  <c r="I22"/>
  <c r="J22" s="1"/>
  <c r="I23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18"/>
  <c r="I8"/>
  <c r="J8" s="1"/>
  <c r="I9"/>
  <c r="J9" s="1"/>
  <c r="I10"/>
  <c r="J10" s="1"/>
  <c r="I11"/>
  <c r="I12"/>
  <c r="J12" s="1"/>
  <c r="I13"/>
  <c r="J13" s="1"/>
  <c r="I14"/>
  <c r="I15"/>
  <c r="J15" s="1"/>
  <c r="I16"/>
  <c r="J16" s="1"/>
  <c r="I7"/>
  <c r="J7" s="1"/>
  <c r="F7"/>
  <c r="Z47" i="7" l="1"/>
  <c r="P9" l="1"/>
  <c r="P46"/>
  <c r="O46"/>
  <c r="R46" s="1"/>
  <c r="O18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J9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P18" l="1"/>
  <c r="J36"/>
  <c r="J46"/>
  <c r="J45"/>
  <c r="J44"/>
  <c r="J43"/>
  <c r="J42"/>
  <c r="J41"/>
  <c r="J40"/>
  <c r="J39"/>
  <c r="J38"/>
  <c r="J37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T19" l="1"/>
  <c r="U19"/>
  <c r="V19"/>
  <c r="W19"/>
  <c r="X19"/>
  <c r="S19"/>
  <c r="T8"/>
  <c r="U8"/>
  <c r="V8"/>
  <c r="W8"/>
  <c r="X8"/>
  <c r="S8"/>
  <c r="S47" s="1"/>
  <c r="W47" l="1"/>
  <c r="T47"/>
  <c r="U47"/>
  <c r="V47"/>
  <c r="X47"/>
  <c r="Y47"/>
  <c r="M31" l="1"/>
  <c r="M24"/>
  <c r="M23"/>
  <c r="M20"/>
  <c r="M15"/>
  <c r="M12"/>
  <c r="M11"/>
  <c r="F44" i="8"/>
  <c r="G44" s="1"/>
  <c r="F43"/>
  <c r="G43" s="1"/>
  <c r="F42"/>
  <c r="G42" s="1"/>
  <c r="F41"/>
  <c r="G41" s="1"/>
  <c r="F40"/>
  <c r="G40" s="1"/>
  <c r="F39"/>
  <c r="G39" s="1"/>
  <c r="F38"/>
  <c r="G38" s="1"/>
  <c r="F37"/>
  <c r="G37" s="1"/>
  <c r="F36"/>
  <c r="G36" s="1"/>
  <c r="F35"/>
  <c r="G35" s="1"/>
  <c r="F34"/>
  <c r="G34" s="1"/>
  <c r="F33"/>
  <c r="G33" s="1"/>
  <c r="F32"/>
  <c r="G32" s="1"/>
  <c r="F31"/>
  <c r="G31" s="1"/>
  <c r="F30"/>
  <c r="G30" s="1"/>
  <c r="F29"/>
  <c r="G29" s="1"/>
  <c r="F28"/>
  <c r="G28" s="1"/>
  <c r="F27"/>
  <c r="G27" s="1"/>
  <c r="F26"/>
  <c r="G26" s="1"/>
  <c r="F25"/>
  <c r="G25" s="1"/>
  <c r="F24"/>
  <c r="G24" s="1"/>
  <c r="F23"/>
  <c r="G23" s="1"/>
  <c r="F22"/>
  <c r="G22" s="1"/>
  <c r="F21"/>
  <c r="G21" s="1"/>
  <c r="F20"/>
  <c r="G20" s="1"/>
  <c r="F19"/>
  <c r="G19" s="1"/>
  <c r="F18"/>
  <c r="G18" s="1"/>
  <c r="F8"/>
  <c r="G8" s="1"/>
  <c r="F9"/>
  <c r="G9" s="1"/>
  <c r="F10"/>
  <c r="G10" s="1"/>
  <c r="F11"/>
  <c r="G11" s="1"/>
  <c r="F12"/>
  <c r="G12" s="1"/>
  <c r="F14"/>
  <c r="G14" s="1"/>
  <c r="F15"/>
  <c r="G15" s="1"/>
  <c r="F16"/>
  <c r="G16" s="1"/>
  <c r="N8" i="7" l="1"/>
  <c r="G7" i="8"/>
  <c r="N19" i="7"/>
  <c r="O35"/>
  <c r="O34"/>
  <c r="O23"/>
  <c r="O22"/>
  <c r="O33"/>
  <c r="O45"/>
  <c r="O32"/>
  <c r="O44"/>
  <c r="O10"/>
  <c r="O31"/>
  <c r="O43"/>
  <c r="O11"/>
  <c r="O30"/>
  <c r="O42"/>
  <c r="O20"/>
  <c r="O15"/>
  <c r="F13" i="8"/>
  <c r="G13" s="1"/>
  <c r="O13" i="7"/>
  <c r="O28"/>
  <c r="O40"/>
  <c r="O21"/>
  <c r="O14"/>
  <c r="O27"/>
  <c r="O39"/>
  <c r="O41"/>
  <c r="O16"/>
  <c r="O26"/>
  <c r="O38"/>
  <c r="O12"/>
  <c r="O17"/>
  <c r="O25"/>
  <c r="O37"/>
  <c r="O29"/>
  <c r="O24"/>
  <c r="O36"/>
  <c r="E19"/>
  <c r="F19" s="1"/>
  <c r="D19"/>
  <c r="E8"/>
  <c r="F8" s="1"/>
  <c r="D8"/>
  <c r="R43" l="1"/>
  <c r="AB43" s="1"/>
  <c r="AH43" s="1"/>
  <c r="P43"/>
  <c r="R34"/>
  <c r="P34"/>
  <c r="R42"/>
  <c r="P42"/>
  <c r="R28"/>
  <c r="AB28" s="1"/>
  <c r="AH28" s="1"/>
  <c r="P28"/>
  <c r="R31"/>
  <c r="AB31" s="1"/>
  <c r="AH31" s="1"/>
  <c r="P31"/>
  <c r="R36"/>
  <c r="P36"/>
  <c r="R35"/>
  <c r="P35"/>
  <c r="R26"/>
  <c r="P26"/>
  <c r="R22"/>
  <c r="AB22" s="1"/>
  <c r="AH22" s="1"/>
  <c r="P22"/>
  <c r="R45"/>
  <c r="AB45" s="1"/>
  <c r="AH45" s="1"/>
  <c r="P45"/>
  <c r="R44"/>
  <c r="P44"/>
  <c r="R24"/>
  <c r="AB24" s="1"/>
  <c r="AH24" s="1"/>
  <c r="P24"/>
  <c r="R27"/>
  <c r="AB27" s="1"/>
  <c r="AH27" s="1"/>
  <c r="P27"/>
  <c r="R39"/>
  <c r="AB39" s="1"/>
  <c r="AH39" s="1"/>
  <c r="P39"/>
  <c r="R41"/>
  <c r="AB41" s="1"/>
  <c r="AH41" s="1"/>
  <c r="P41"/>
  <c r="R30"/>
  <c r="AB30" s="1"/>
  <c r="AH30" s="1"/>
  <c r="P30"/>
  <c r="R23"/>
  <c r="AB23" s="1"/>
  <c r="AH23" s="1"/>
  <c r="P23"/>
  <c r="R38"/>
  <c r="AB38" s="1"/>
  <c r="AH38" s="1"/>
  <c r="P38"/>
  <c r="R33"/>
  <c r="P33"/>
  <c r="R25"/>
  <c r="AB25" s="1"/>
  <c r="AH25" s="1"/>
  <c r="P25"/>
  <c r="R32"/>
  <c r="AB32" s="1"/>
  <c r="AH32" s="1"/>
  <c r="P32"/>
  <c r="R37"/>
  <c r="P37"/>
  <c r="R40"/>
  <c r="P40"/>
  <c r="R29"/>
  <c r="AB29" s="1"/>
  <c r="AH29" s="1"/>
  <c r="P29"/>
  <c r="R21"/>
  <c r="AB21" s="1"/>
  <c r="AH21" s="1"/>
  <c r="P21"/>
  <c r="R16"/>
  <c r="P16"/>
  <c r="R17"/>
  <c r="P17"/>
  <c r="R14"/>
  <c r="AB14" s="1"/>
  <c r="AH14" s="1"/>
  <c r="P14"/>
  <c r="R11"/>
  <c r="P11"/>
  <c r="R15"/>
  <c r="P15"/>
  <c r="R12"/>
  <c r="AB12" s="1"/>
  <c r="AH12" s="1"/>
  <c r="P12"/>
  <c r="R13"/>
  <c r="P13"/>
  <c r="R10"/>
  <c r="P10"/>
  <c r="N47"/>
  <c r="O8"/>
  <c r="B7" i="8"/>
  <c r="O19" i="7"/>
  <c r="D47"/>
  <c r="E47"/>
  <c r="P19" l="1"/>
  <c r="AB8"/>
  <c r="R8"/>
  <c r="R47" s="1"/>
  <c r="O47"/>
  <c r="L47" s="1"/>
  <c r="AH8"/>
  <c r="P8"/>
  <c r="R19"/>
  <c r="F47"/>
  <c r="AH47" l="1"/>
  <c r="P47"/>
  <c r="AB19"/>
  <c r="AB47" s="1"/>
  <c r="AH19"/>
  <c r="AG47"/>
  <c r="AF47"/>
  <c r="AE47"/>
  <c r="AD47"/>
  <c r="AC47"/>
  <c r="M19" l="1"/>
  <c r="M8" l="1"/>
  <c r="M47" l="1"/>
  <c r="C18" i="8" l="1"/>
  <c r="D18" s="1"/>
  <c r="L18" s="1"/>
  <c r="C7"/>
  <c r="D7" s="1"/>
  <c r="C19"/>
  <c r="D19" s="1"/>
  <c r="L19" s="1"/>
  <c r="C20"/>
  <c r="D20" s="1"/>
  <c r="L20" s="1"/>
  <c r="C21"/>
  <c r="D21" s="1"/>
  <c r="L21" s="1"/>
  <c r="C22"/>
  <c r="D22" s="1"/>
  <c r="L22" s="1"/>
  <c r="C23"/>
  <c r="D23" s="1"/>
  <c r="L23" s="1"/>
  <c r="C24"/>
  <c r="D24" s="1"/>
  <c r="L24" s="1"/>
  <c r="C25"/>
  <c r="D25" s="1"/>
  <c r="L25" s="1"/>
  <c r="C26"/>
  <c r="D26" s="1"/>
  <c r="L26" s="1"/>
  <c r="C27"/>
  <c r="D27" s="1"/>
  <c r="L27" s="1"/>
  <c r="C28"/>
  <c r="D28" s="1"/>
  <c r="L28" s="1"/>
  <c r="C29"/>
  <c r="D29" s="1"/>
  <c r="L29" s="1"/>
  <c r="C30"/>
  <c r="D30" s="1"/>
  <c r="L30" s="1"/>
  <c r="C31"/>
  <c r="D31" s="1"/>
  <c r="L31" s="1"/>
  <c r="C32"/>
  <c r="D32" s="1"/>
  <c r="L32" s="1"/>
  <c r="C33"/>
  <c r="D33" s="1"/>
  <c r="L33" s="1"/>
  <c r="C34"/>
  <c r="D34" s="1"/>
  <c r="L34" s="1"/>
  <c r="C35"/>
  <c r="D35" s="1"/>
  <c r="L35" s="1"/>
  <c r="C36"/>
  <c r="D36" s="1"/>
  <c r="L36" s="1"/>
  <c r="C37"/>
  <c r="D37" s="1"/>
  <c r="L37" s="1"/>
  <c r="C38"/>
  <c r="D38" s="1"/>
  <c r="L38" s="1"/>
  <c r="C39"/>
  <c r="D39" s="1"/>
  <c r="L39" s="1"/>
  <c r="C40"/>
  <c r="D40" s="1"/>
  <c r="L40" s="1"/>
  <c r="C41"/>
  <c r="D41" s="1"/>
  <c r="L41" s="1"/>
  <c r="C42"/>
  <c r="D42" s="1"/>
  <c r="L42" s="1"/>
  <c r="C43"/>
  <c r="D43" s="1"/>
  <c r="L43" s="1"/>
  <c r="C44"/>
  <c r="D44" s="1"/>
  <c r="L44" s="1"/>
  <c r="C8"/>
  <c r="D8" s="1"/>
  <c r="L8" s="1"/>
  <c r="C9"/>
  <c r="D9" s="1"/>
  <c r="L9" s="1"/>
  <c r="C10"/>
  <c r="D10" s="1"/>
  <c r="L10" s="1"/>
  <c r="C11"/>
  <c r="D11" s="1"/>
  <c r="L11" s="1"/>
  <c r="C12"/>
  <c r="D12" s="1"/>
  <c r="L12" s="1"/>
  <c r="C13"/>
  <c r="D13" s="1"/>
  <c r="L13" s="1"/>
  <c r="C14"/>
  <c r="D14" s="1"/>
  <c r="L14" s="1"/>
  <c r="C15"/>
  <c r="D15" s="1"/>
  <c r="L15" s="1"/>
  <c r="C16"/>
  <c r="D16" s="1"/>
  <c r="L16" s="1"/>
  <c r="L7" l="1"/>
  <c r="K7" s="1"/>
  <c r="B43"/>
  <c r="B19"/>
  <c r="B40"/>
  <c r="B32"/>
  <c r="B38"/>
  <c r="B33"/>
  <c r="B25"/>
  <c r="B21"/>
  <c r="B14"/>
  <c r="B11"/>
  <c r="B15"/>
  <c r="B13"/>
  <c r="B9"/>
  <c r="B29"/>
  <c r="B37"/>
  <c r="B41"/>
  <c r="B10"/>
  <c r="B8"/>
  <c r="K8" s="1"/>
  <c r="B20"/>
  <c r="B24"/>
  <c r="B28"/>
  <c r="H28" s="1"/>
  <c r="B36"/>
  <c r="B44"/>
  <c r="B22"/>
  <c r="B26"/>
  <c r="B30"/>
  <c r="B34"/>
  <c r="B42"/>
  <c r="B23"/>
  <c r="B27"/>
  <c r="B31"/>
  <c r="B35"/>
  <c r="B39"/>
  <c r="B12"/>
  <c r="B16"/>
  <c r="H16" s="1"/>
  <c r="H14" l="1"/>
  <c r="K14"/>
  <c r="H11"/>
  <c r="K11"/>
  <c r="H15"/>
  <c r="K15"/>
  <c r="H26"/>
  <c r="K26"/>
  <c r="H36"/>
  <c r="K36"/>
  <c r="H44"/>
  <c r="K44"/>
  <c r="H19"/>
  <c r="K19"/>
  <c r="K28"/>
  <c r="H12"/>
  <c r="K12"/>
  <c r="H13"/>
  <c r="K13"/>
  <c r="H43"/>
  <c r="K43"/>
  <c r="H30"/>
  <c r="K30"/>
  <c r="H34"/>
  <c r="K34"/>
  <c r="H40"/>
  <c r="K40"/>
  <c r="H41"/>
  <c r="K41"/>
  <c r="H23"/>
  <c r="K23"/>
  <c r="H38"/>
  <c r="K38"/>
  <c r="H20"/>
  <c r="K20"/>
  <c r="H25"/>
  <c r="K25"/>
  <c r="K16"/>
  <c r="H39"/>
  <c r="K39"/>
  <c r="H22"/>
  <c r="K22"/>
  <c r="H9"/>
  <c r="K9"/>
  <c r="H29"/>
  <c r="K29"/>
  <c r="H37"/>
  <c r="K37"/>
  <c r="H42"/>
  <c r="K42"/>
  <c r="H32"/>
  <c r="K32"/>
  <c r="H10"/>
  <c r="K10"/>
  <c r="H27"/>
  <c r="K27"/>
  <c r="H33"/>
  <c r="K33"/>
  <c r="H31"/>
  <c r="K31"/>
  <c r="H35"/>
  <c r="K35"/>
  <c r="H24"/>
  <c r="K24"/>
  <c r="H21"/>
  <c r="K21"/>
  <c r="H8"/>
  <c r="B6"/>
  <c r="E43"/>
  <c r="E39"/>
  <c r="E37"/>
  <c r="E35"/>
  <c r="E33"/>
  <c r="E31"/>
  <c r="E29"/>
  <c r="E27"/>
  <c r="E25"/>
  <c r="E23"/>
  <c r="E21"/>
  <c r="E19"/>
  <c r="B18"/>
  <c r="K18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K6" l="1"/>
  <c r="K45" s="1"/>
  <c r="K17"/>
  <c r="H18"/>
  <c r="H17" s="1"/>
  <c r="B17"/>
  <c r="H7"/>
  <c r="H6" s="1"/>
  <c r="E7"/>
  <c r="E6" s="1"/>
  <c r="E18"/>
  <c r="E17" s="1"/>
  <c r="H45" l="1"/>
  <c r="E45"/>
  <c r="B45"/>
</calcChain>
</file>

<file path=xl/sharedStrings.xml><?xml version="1.0" encoding="utf-8"?>
<sst xmlns="http://schemas.openxmlformats.org/spreadsheetml/2006/main" count="154" uniqueCount="99">
  <si>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</si>
  <si>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</si>
  <si>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</si>
  <si>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</si>
  <si>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</si>
  <si>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</si>
  <si>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</si>
  <si>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</si>
  <si>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</si>
  <si>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</si>
  <si>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</si>
  <si>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</si>
  <si>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</si>
  <si>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</si>
  <si>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</si>
  <si>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</si>
  <si>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</si>
  <si>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</si>
  <si>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</si>
  <si>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</si>
  <si>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</si>
  <si>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</si>
  <si>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</si>
  <si>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</si>
  <si>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</si>
  <si>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</si>
  <si>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</si>
  <si>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</si>
  <si>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</si>
  <si>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</si>
  <si>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</si>
  <si>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</si>
  <si>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</si>
  <si>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</si>
  <si>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</si>
  <si>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</si>
  <si>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</si>
  <si>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</si>
  <si>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</si>
  <si>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</si>
  <si>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</si>
  <si>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</si>
  <si>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</si>
  <si>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</si>
  <si>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</si>
  <si>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</si>
  <si>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</si>
  <si>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</si>
  <si>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</si>
  <si>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</si>
  <si>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</si>
  <si>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</si>
  <si>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</si>
  <si>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</si>
  <si>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</si>
  <si>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</si>
  <si>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</si>
  <si>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Отсутствие просроченной кредиторской задолженности бюджета городского округа, консолидированного бюджета муниципального района по состоянию на конец отчетного периода</t>
  </si>
  <si>
    <t>МО у которых доля дотаций на выравнивание бюджетной обеспеченности в доходах бюджета (без учета субвенций) за 2025 год &gt; 15 %</t>
  </si>
  <si>
    <t>наличие заключенного соглашения по повышению эффективности управления муниципальными финансами</t>
  </si>
  <si>
    <t xml:space="preserve">наличие утвержденного плана мероприятий по оздоровлению муниципальных финансов
</t>
  </si>
  <si>
    <t>-</t>
  </si>
  <si>
    <t>за январь</t>
  </si>
  <si>
    <t>План распределения 
за период, 
тыс. рублей</t>
  </si>
  <si>
    <t>за февраль</t>
  </si>
  <si>
    <t xml:space="preserve">досрочно
(распоряжение 
МФ СО 
от 25.03.2026 
№ 01-08/11) </t>
  </si>
  <si>
    <t xml:space="preserve">досрочно
(распоряжение 
МФ СО 
от 17.04.2026 
№ 01-08/17) </t>
  </si>
  <si>
    <t>за март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</si>
  <si>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</si>
  <si>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</si>
  <si>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</si>
  <si>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</si>
  <si>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Ранее предоставленные дотации в 2026 году, тыс. рублей</t>
  </si>
  <si>
    <t>Общая площадь введенного в эксплуатацию жилья с учетом индивидуального жилищного строительства</t>
  </si>
  <si>
    <t>за апрель</t>
  </si>
  <si>
    <t>Распределение за отчетный период с учетом удержания, тыс. рублей</t>
  </si>
  <si>
    <t>за май</t>
  </si>
  <si>
    <t>10=9/8</t>
  </si>
  <si>
    <t>15=12*14</t>
  </si>
  <si>
    <t>16=15-14</t>
  </si>
  <si>
    <t>18=15-17</t>
  </si>
  <si>
    <t>за июнь</t>
  </si>
  <si>
    <t>Эффективность вовлечения объектов недвижимости в хозяйственный и налоговый оборот</t>
  </si>
  <si>
    <t xml:space="preserve"> + / -
(5)=(2)*(4)/(12)</t>
  </si>
  <si>
    <t xml:space="preserve"> + / -
(8)=(2)*(7)/(12)</t>
  </si>
  <si>
    <t xml:space="preserve"> + / -
(11)=(2)*(10)/(12)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</si>
  <si>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01.07.2026)</t>
    </r>
  </si>
  <si>
    <r>
      <t xml:space="preserve">Эффективность вовлечения объектов недвижимости в хозяйственный и налоговый оборот (единицы)
</t>
    </r>
    <r>
      <rPr>
        <i/>
        <sz val="9"/>
        <rFont val="Arial Narrow"/>
        <family val="2"/>
        <charset val="204"/>
      </rPr>
      <t>(по состоянию на 01.07.2026)</t>
    </r>
  </si>
  <si>
    <t>за 8 месяцев 2026 года</t>
  </si>
  <si>
    <t>Факторный анализ влияния отдельных показателей на итоговое распределение за 8 месяцев 2026 года</t>
  </si>
  <si>
    <t>за июль</t>
  </si>
  <si>
    <t>14=13/11мес.*8мес.</t>
  </si>
  <si>
    <t>Удержание дотаций 
в 2026 году в связи с исполнением показателей 
за 2025 год 
(4/5 от суммы взысканя), 
тыс. рублей</t>
  </si>
  <si>
    <t>28=18-(19+…+27)</t>
  </si>
  <si>
    <t>Распределение дотаций за август за вычетом ранее предоставленных дотаций, тыс. рублей</t>
  </si>
  <si>
    <t>Распределение дотаций за август с учетом выполнения условий предоставления дотаций, тыс. рублей</t>
  </si>
  <si>
    <t>непривлечение кредитов кредитных организаций в августе 2026 года</t>
  </si>
  <si>
    <t>МО, муниципальный долг которых на 01.09.2026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</si>
  <si>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августе 2026 года (не применяется если объем долга на 01.09.2026 не превышает его объем по состоянию на начало 2026 года)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</si>
</sst>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0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6699FF"/>
      <color rgb="FFFF9999"/>
      <color rgb="FFCCFFCC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0</xdr:colOff>
      <xdr:row>40</xdr:row>
      <xdr:rowOff>135467</xdr:rowOff>
    </xdr:from>
    <xdr:ext cx="184731" cy="274735"/>
    <xdr:sp macro="" textlink="">
      <xdr:nvSpPr>
        <xdr:cNvPr id="2" name="TextBox 1"/>
        <xdr:cNvSpPr txBox="1"/>
      </xdr:nvSpPr>
      <xdr:spPr>
        <a:xfrm>
          <a:off x="2314575" y="12289367"/>
          <a:ext cx="184731" cy="27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35</xdr:col>
      <xdr:colOff>0</xdr:colOff>
      <xdr:row>41</xdr:row>
      <xdr:rowOff>0</xdr:rowOff>
    </xdr:from>
    <xdr:ext cx="184731" cy="274735"/>
    <xdr:sp macro="" textlink="">
      <xdr:nvSpPr>
        <xdr:cNvPr id="3" name="TextBox 2"/>
        <xdr:cNvSpPr txBox="1"/>
      </xdr:nvSpPr>
      <xdr:spPr>
        <a:xfrm>
          <a:off x="2314575" y="12392025"/>
          <a:ext cx="184731" cy="27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35</xdr:col>
      <xdr:colOff>0</xdr:colOff>
      <xdr:row>40</xdr:row>
      <xdr:rowOff>143087</xdr:rowOff>
    </xdr:from>
    <xdr:ext cx="184731" cy="264560"/>
    <xdr:sp macro="" textlink="">
      <xdr:nvSpPr>
        <xdr:cNvPr id="4" name="TextBox 3"/>
        <xdr:cNvSpPr txBox="1"/>
      </xdr:nvSpPr>
      <xdr:spPr>
        <a:xfrm>
          <a:off x="2314575" y="122969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35</xdr:col>
      <xdr:colOff>0</xdr:colOff>
      <xdr:row>40</xdr:row>
      <xdr:rowOff>135467</xdr:rowOff>
    </xdr:from>
    <xdr:ext cx="184731" cy="274735"/>
    <xdr:sp macro="" textlink="">
      <xdr:nvSpPr>
        <xdr:cNvPr id="5" name="TextBox 4"/>
        <xdr:cNvSpPr txBox="1"/>
      </xdr:nvSpPr>
      <xdr:spPr>
        <a:xfrm>
          <a:off x="2314575" y="12289367"/>
          <a:ext cx="184731" cy="27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35</xdr:col>
      <xdr:colOff>0</xdr:colOff>
      <xdr:row>41</xdr:row>
      <xdr:rowOff>0</xdr:rowOff>
    </xdr:from>
    <xdr:ext cx="184731" cy="274735"/>
    <xdr:sp macro="" textlink="">
      <xdr:nvSpPr>
        <xdr:cNvPr id="6" name="TextBox 5"/>
        <xdr:cNvSpPr txBox="1"/>
      </xdr:nvSpPr>
      <xdr:spPr>
        <a:xfrm>
          <a:off x="2314575" y="12392025"/>
          <a:ext cx="184731" cy="274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35</xdr:col>
      <xdr:colOff>0</xdr:colOff>
      <xdr:row>40</xdr:row>
      <xdr:rowOff>143087</xdr:rowOff>
    </xdr:from>
    <xdr:ext cx="184731" cy="264560"/>
    <xdr:sp macro="" textlink="">
      <xdr:nvSpPr>
        <xdr:cNvPr id="7" name="TextBox 6"/>
        <xdr:cNvSpPr txBox="1"/>
      </xdr:nvSpPr>
      <xdr:spPr>
        <a:xfrm>
          <a:off x="2314575" y="122969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L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" sqref="B1:P1"/>
    </sheetView>
  </sheetViews>
  <sheetFormatPr defaultColWidth="9.140625" defaultRowHeight="12.75"/>
  <cols>
    <col min="1" max="1" width="27.140625" style="1" customWidth="1"/>
    <col min="2" max="2" width="13.7109375" style="1" customWidth="1"/>
    <col min="3" max="3" width="9.28515625" style="1" customWidth="1"/>
    <col min="4" max="5" width="10.140625" style="1" customWidth="1"/>
    <col min="6" max="6" width="13" style="1" customWidth="1"/>
    <col min="7" max="9" width="10.140625" style="1" customWidth="1"/>
    <col min="10" max="10" width="13" style="1" customWidth="1"/>
    <col min="11" max="11" width="10.140625" style="1" customWidth="1"/>
    <col min="12" max="12" width="12.7109375" style="1" customWidth="1"/>
    <col min="13" max="13" width="11.42578125" style="1" customWidth="1"/>
    <col min="14" max="14" width="17.85546875" style="1" customWidth="1"/>
    <col min="15" max="15" width="13.5703125" style="1" customWidth="1"/>
    <col min="16" max="16" width="13.42578125" style="1" customWidth="1"/>
    <col min="17" max="18" width="14.28515625" style="1" customWidth="1"/>
    <col min="19" max="27" width="11.28515625" style="1" customWidth="1"/>
    <col min="28" max="28" width="16.5703125" style="1" customWidth="1"/>
    <col min="29" max="29" width="18.42578125" style="1" customWidth="1"/>
    <col min="30" max="31" width="18.85546875" style="1" customWidth="1"/>
    <col min="32" max="32" width="15.140625" style="1" customWidth="1"/>
    <col min="33" max="33" width="14" style="1" customWidth="1"/>
    <col min="34" max="34" width="13.42578125" style="1" customWidth="1"/>
    <col min="35" max="35" width="36.28515625" style="1" bestFit="1" customWidth="1"/>
    <col min="36" max="36" width="13.7109375" style="1" bestFit="1" customWidth="1"/>
    <col min="37" max="37" width="10.5703125" style="1" bestFit="1" customWidth="1"/>
    <col min="38" max="16384" width="9.140625" style="1"/>
  </cols>
  <sheetData>
    <row r="1" spans="1:38" ht="21.75" customHeight="1">
      <c r="B1" s="59" t="s">
        <v>51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8" ht="15.75">
      <c r="A2" s="35" t="s">
        <v>88</v>
      </c>
    </row>
    <row r="3" spans="1:38" ht="25.5" customHeight="1">
      <c r="A3" s="60" t="s">
        <v>15</v>
      </c>
      <c r="B3" s="73" t="s">
        <v>57</v>
      </c>
      <c r="C3" s="73"/>
      <c r="D3" s="70" t="s">
        <v>86</v>
      </c>
      <c r="E3" s="70"/>
      <c r="F3" s="70"/>
      <c r="G3" s="70"/>
      <c r="H3" s="70" t="s">
        <v>87</v>
      </c>
      <c r="I3" s="70"/>
      <c r="J3" s="70"/>
      <c r="K3" s="70"/>
      <c r="L3" s="72" t="s">
        <v>47</v>
      </c>
      <c r="M3" s="71" t="s">
        <v>54</v>
      </c>
      <c r="N3" s="60" t="s">
        <v>63</v>
      </c>
      <c r="O3" s="60" t="s">
        <v>55</v>
      </c>
      <c r="P3" s="60" t="s">
        <v>56</v>
      </c>
      <c r="Q3" s="60" t="s">
        <v>92</v>
      </c>
      <c r="R3" s="60" t="s">
        <v>75</v>
      </c>
      <c r="S3" s="61" t="s">
        <v>72</v>
      </c>
      <c r="T3" s="62"/>
      <c r="U3" s="62"/>
      <c r="V3" s="62"/>
      <c r="W3" s="62"/>
      <c r="X3" s="62"/>
      <c r="Y3" s="62"/>
      <c r="Z3" s="62"/>
      <c r="AA3" s="63"/>
      <c r="AB3" s="60" t="s">
        <v>94</v>
      </c>
      <c r="AC3" s="69" t="s">
        <v>53</v>
      </c>
      <c r="AD3" s="69"/>
      <c r="AE3" s="69"/>
      <c r="AF3" s="69"/>
      <c r="AG3" s="69"/>
      <c r="AH3" s="60" t="s">
        <v>95</v>
      </c>
    </row>
    <row r="4" spans="1:38" ht="42.75" customHeight="1">
      <c r="A4" s="60"/>
      <c r="B4" s="73"/>
      <c r="C4" s="73"/>
      <c r="D4" s="70"/>
      <c r="E4" s="70"/>
      <c r="F4" s="70"/>
      <c r="G4" s="70"/>
      <c r="H4" s="70"/>
      <c r="I4" s="70"/>
      <c r="J4" s="70"/>
      <c r="K4" s="70"/>
      <c r="L4" s="72"/>
      <c r="M4" s="71"/>
      <c r="N4" s="60"/>
      <c r="O4" s="60"/>
      <c r="P4" s="60"/>
      <c r="Q4" s="60"/>
      <c r="R4" s="60"/>
      <c r="S4" s="64"/>
      <c r="T4" s="65"/>
      <c r="U4" s="65"/>
      <c r="V4" s="65"/>
      <c r="W4" s="65"/>
      <c r="X4" s="65"/>
      <c r="Y4" s="65"/>
      <c r="Z4" s="65"/>
      <c r="AA4" s="66"/>
      <c r="AB4" s="60"/>
      <c r="AC4" s="69" t="s">
        <v>96</v>
      </c>
      <c r="AD4" s="69"/>
      <c r="AE4" s="69" t="s">
        <v>98</v>
      </c>
      <c r="AF4" s="69" t="s">
        <v>59</v>
      </c>
      <c r="AG4" s="69" t="s">
        <v>60</v>
      </c>
      <c r="AH4" s="60"/>
    </row>
    <row r="5" spans="1:38" ht="87" customHeight="1">
      <c r="A5" s="60"/>
      <c r="B5" s="73"/>
      <c r="C5" s="73"/>
      <c r="D5" s="70"/>
      <c r="E5" s="70"/>
      <c r="F5" s="70"/>
      <c r="G5" s="70"/>
      <c r="H5" s="70"/>
      <c r="I5" s="70"/>
      <c r="J5" s="70"/>
      <c r="K5" s="70"/>
      <c r="L5" s="72"/>
      <c r="M5" s="71"/>
      <c r="N5" s="60"/>
      <c r="O5" s="60"/>
      <c r="P5" s="60"/>
      <c r="Q5" s="60"/>
      <c r="R5" s="60"/>
      <c r="S5" s="60" t="s">
        <v>62</v>
      </c>
      <c r="T5" s="60" t="s">
        <v>64</v>
      </c>
      <c r="U5" s="60" t="s">
        <v>65</v>
      </c>
      <c r="V5" s="60" t="s">
        <v>66</v>
      </c>
      <c r="W5" s="60" t="s">
        <v>67</v>
      </c>
      <c r="X5" s="60" t="s">
        <v>74</v>
      </c>
      <c r="Y5" s="60" t="s">
        <v>76</v>
      </c>
      <c r="Z5" s="60" t="s">
        <v>81</v>
      </c>
      <c r="AA5" s="60" t="s">
        <v>90</v>
      </c>
      <c r="AB5" s="60"/>
      <c r="AC5" s="69" t="s">
        <v>58</v>
      </c>
      <c r="AD5" s="69" t="s">
        <v>97</v>
      </c>
      <c r="AE5" s="69"/>
      <c r="AF5" s="69"/>
      <c r="AG5" s="69"/>
      <c r="AH5" s="60"/>
    </row>
    <row r="6" spans="1:38" ht="42" customHeight="1">
      <c r="A6" s="60"/>
      <c r="B6" s="55" t="s">
        <v>48</v>
      </c>
      <c r="C6" s="55" t="s">
        <v>16</v>
      </c>
      <c r="D6" s="54" t="s">
        <v>68</v>
      </c>
      <c r="E6" s="54" t="s">
        <v>69</v>
      </c>
      <c r="F6" s="54" t="s">
        <v>70</v>
      </c>
      <c r="G6" s="54" t="s">
        <v>16</v>
      </c>
      <c r="H6" s="56" t="s">
        <v>68</v>
      </c>
      <c r="I6" s="56" t="s">
        <v>69</v>
      </c>
      <c r="J6" s="56" t="s">
        <v>70</v>
      </c>
      <c r="K6" s="56" t="s">
        <v>16</v>
      </c>
      <c r="L6" s="72"/>
      <c r="M6" s="71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9"/>
      <c r="AD6" s="69"/>
      <c r="AE6" s="69"/>
      <c r="AF6" s="69"/>
      <c r="AG6" s="69"/>
      <c r="AH6" s="60"/>
    </row>
    <row r="7" spans="1:38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71</v>
      </c>
      <c r="G7" s="13">
        <v>7</v>
      </c>
      <c r="H7" s="13">
        <v>8</v>
      </c>
      <c r="I7" s="13">
        <v>9</v>
      </c>
      <c r="J7" s="13" t="s">
        <v>77</v>
      </c>
      <c r="K7" s="13">
        <v>11</v>
      </c>
      <c r="L7" s="13">
        <v>12</v>
      </c>
      <c r="M7" s="13">
        <v>13</v>
      </c>
      <c r="N7" s="13" t="s">
        <v>91</v>
      </c>
      <c r="O7" s="13" t="s">
        <v>78</v>
      </c>
      <c r="P7" s="13" t="s">
        <v>79</v>
      </c>
      <c r="Q7" s="13">
        <v>17</v>
      </c>
      <c r="R7" s="13" t="s">
        <v>80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 t="s">
        <v>93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"/>
      <c r="AJ7" s="1"/>
      <c r="AK7" s="1"/>
      <c r="AL7" s="1"/>
    </row>
    <row r="8" spans="1:38" s="3" customFormat="1" ht="15.75">
      <c r="A8" s="20" t="s">
        <v>4</v>
      </c>
      <c r="B8" s="9"/>
      <c r="C8" s="9"/>
      <c r="D8" s="49">
        <f>SUM(D9:D18)</f>
        <v>399392</v>
      </c>
      <c r="E8" s="49">
        <f>SUM(E9:E18)</f>
        <v>391428</v>
      </c>
      <c r="F8" s="50">
        <f>IF(E8/D8&gt;1.2,IF((E8/D8-1.2)*0.1+1.2&gt;1.3,1.3,(E8/D8-1.2)*0.1+1.2),E8/D8)</f>
        <v>0.98005969072990951</v>
      </c>
      <c r="G8" s="9"/>
      <c r="H8" s="49"/>
      <c r="I8" s="49"/>
      <c r="J8" s="50"/>
      <c r="K8" s="9"/>
      <c r="L8" s="10"/>
      <c r="M8" s="45">
        <f t="shared" ref="M8" si="0">SUM(M9:M18)</f>
        <v>593729</v>
      </c>
      <c r="N8" s="18">
        <f t="shared" ref="N8:S8" si="1">SUM(N9:N18)</f>
        <v>431802.89999999997</v>
      </c>
      <c r="O8" s="18">
        <f t="shared" si="1"/>
        <v>371587.5</v>
      </c>
      <c r="P8" s="18">
        <f t="shared" si="1"/>
        <v>-60215.399999999987</v>
      </c>
      <c r="Q8" s="18">
        <f>SUM(Q9:Q18)</f>
        <v>45191.399999999994</v>
      </c>
      <c r="R8" s="18">
        <f t="shared" si="1"/>
        <v>326396.09999999998</v>
      </c>
      <c r="S8" s="18">
        <f t="shared" si="1"/>
        <v>53879.9</v>
      </c>
      <c r="T8" s="18">
        <f t="shared" ref="T8:AA8" si="2">SUM(T9:T18)</f>
        <v>53880.000000000007</v>
      </c>
      <c r="U8" s="18">
        <f t="shared" si="2"/>
        <v>0</v>
      </c>
      <c r="V8" s="18">
        <f t="shared" si="2"/>
        <v>15336</v>
      </c>
      <c r="W8" s="18">
        <f t="shared" si="2"/>
        <v>46908.900000000009</v>
      </c>
      <c r="X8" s="18">
        <f t="shared" si="2"/>
        <v>46556.9</v>
      </c>
      <c r="Y8" s="18">
        <f t="shared" si="2"/>
        <v>28481.9</v>
      </c>
      <c r="Z8" s="18">
        <f t="shared" si="2"/>
        <v>45356.499999999993</v>
      </c>
      <c r="AA8" s="18">
        <f t="shared" si="2"/>
        <v>16986.999999999993</v>
      </c>
      <c r="AB8" s="18">
        <f>SUM(AB9:AB18)</f>
        <v>19009.000000000015</v>
      </c>
      <c r="AC8" s="18"/>
      <c r="AD8" s="18"/>
      <c r="AE8" s="18"/>
      <c r="AF8" s="18"/>
      <c r="AG8" s="18"/>
      <c r="AH8" s="18">
        <f>SUM(AH9:AH18)</f>
        <v>19914.000000000015</v>
      </c>
      <c r="AI8" s="1"/>
      <c r="AJ8" s="1"/>
      <c r="AK8" s="1"/>
      <c r="AL8" s="1"/>
    </row>
    <row r="9" spans="1:38" s="2" customFormat="1" ht="16.5" customHeight="1">
      <c r="A9" s="5" t="s">
        <v>5</v>
      </c>
      <c r="B9" s="4">
        <v>1</v>
      </c>
      <c r="C9" s="4">
        <v>10</v>
      </c>
      <c r="D9" s="4">
        <v>258510</v>
      </c>
      <c r="E9" s="4">
        <v>270782</v>
      </c>
      <c r="F9" s="51">
        <f>IF(G9=0,0,IF(D9=0,1,IF(E9&lt;0,0,IF(E9/D9&gt;1.2,IF((E9/D9-1.2)*0.1+1.2&gt;1.3,1.3,(E9/D9-1.2)*0.1+1.2),E9/D9))))</f>
        <v>1.0474720513713203</v>
      </c>
      <c r="G9" s="4">
        <v>15</v>
      </c>
      <c r="H9" s="4">
        <v>3</v>
      </c>
      <c r="I9" s="4">
        <v>1</v>
      </c>
      <c r="J9" s="51">
        <f>IF(K9=0,0,IF(H9=0,1,IF(I9&lt;0,0,IF(I9/H9&gt;1.2,IF((I9/H9-1.2)*0.1+1.2&gt;1.3,1.3,(I9/H9-1.2)*0.1+1.2),I9/H9))))</f>
        <v>0.33333333333333331</v>
      </c>
      <c r="K9" s="4">
        <v>20</v>
      </c>
      <c r="L9" s="24">
        <f>(B9*C9+F9*G9+J9*K9)/(C9+G9+K9)</f>
        <v>0.71952772082747707</v>
      </c>
      <c r="M9" s="48">
        <v>0</v>
      </c>
      <c r="N9" s="19">
        <f>ROUND(M9/11*8,1)</f>
        <v>0</v>
      </c>
      <c r="O9" s="19">
        <f>ROUND(L9*N9,1)</f>
        <v>0</v>
      </c>
      <c r="P9" s="19">
        <f>O9-N9</f>
        <v>0</v>
      </c>
      <c r="Q9" s="19"/>
      <c r="R9" s="19">
        <f>O9-Q9</f>
        <v>0</v>
      </c>
      <c r="S9" s="19">
        <v>0</v>
      </c>
      <c r="T9" s="19">
        <v>0</v>
      </c>
      <c r="U9" s="19"/>
      <c r="V9" s="19"/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f>R9-SUM(S9:AA9)</f>
        <v>0</v>
      </c>
      <c r="AC9" s="42"/>
      <c r="AD9" s="42"/>
      <c r="AE9" s="43" t="s">
        <v>61</v>
      </c>
      <c r="AF9" s="43" t="s">
        <v>61</v>
      </c>
      <c r="AG9" s="43" t="s">
        <v>61</v>
      </c>
      <c r="AH9" s="19">
        <f>IF(OR(AC9="-",AD9="-",AE9="-",AF9="-",AG9="-"),0,IF(AB9&lt;0,0,AB9))</f>
        <v>0</v>
      </c>
      <c r="AI9" s="1"/>
      <c r="AJ9" s="1"/>
      <c r="AK9" s="1"/>
      <c r="AL9" s="1"/>
    </row>
    <row r="10" spans="1:38" s="2" customFormat="1" ht="17.100000000000001" customHeight="1">
      <c r="A10" s="5" t="s">
        <v>6</v>
      </c>
      <c r="B10" s="4">
        <v>1</v>
      </c>
      <c r="C10" s="4">
        <v>10</v>
      </c>
      <c r="D10" s="4">
        <v>33376</v>
      </c>
      <c r="E10" s="4">
        <v>30660</v>
      </c>
      <c r="F10" s="51">
        <f t="shared" ref="F10:F18" si="3">IF(G10=0,0,IF(D10=0,1,IF(E10&lt;0,0,IF(E10/D10&gt;1.2,IF((E10/D10-1.2)*0.1+1.2&gt;1.3,1.3,(E10/D10-1.2)*0.1+1.2),E10/D10))))</f>
        <v>0.9186241610738255</v>
      </c>
      <c r="G10" s="4">
        <v>15</v>
      </c>
      <c r="H10" s="4">
        <v>3</v>
      </c>
      <c r="I10" s="4">
        <v>3</v>
      </c>
      <c r="J10" s="51">
        <f t="shared" ref="J10:J46" si="4">IF(K10=0,0,IF(H10=0,1,IF(I10&lt;0,0,IF(I10/H10&gt;1.2,IF((I10/H10-1.2)*0.1+1.2&gt;1.3,1.3,(I10/H10-1.2)*0.1+1.2),I10/H10))))</f>
        <v>1</v>
      </c>
      <c r="K10" s="4">
        <v>20</v>
      </c>
      <c r="L10" s="24">
        <f t="shared" ref="L10:L45" si="5">(B10*C10+F10*G10+J10*K10)/(C10+G10+K10)</f>
        <v>0.97287472035794187</v>
      </c>
      <c r="M10" s="48">
        <v>90774</v>
      </c>
      <c r="N10" s="19">
        <f t="shared" ref="N10:N20" si="6">ROUND(M10/11*8,1)</f>
        <v>66017.5</v>
      </c>
      <c r="O10" s="19">
        <f t="shared" ref="O10:O17" si="7">ROUND(L10*N10,1)</f>
        <v>64226.8</v>
      </c>
      <c r="P10" s="19">
        <f t="shared" ref="P10:P17" si="8">O10-N10</f>
        <v>-1790.6999999999971</v>
      </c>
      <c r="Q10" s="19">
        <v>18792</v>
      </c>
      <c r="R10" s="19">
        <f t="shared" ref="R10:R18" si="9">O10-Q10</f>
        <v>45434.8</v>
      </c>
      <c r="S10" s="19">
        <v>8252.2000000000007</v>
      </c>
      <c r="T10" s="19">
        <v>8252.2000000000007</v>
      </c>
      <c r="U10" s="19"/>
      <c r="V10" s="19"/>
      <c r="W10" s="19">
        <v>8252.0999999999985</v>
      </c>
      <c r="X10" s="19">
        <v>10174.800000000003</v>
      </c>
      <c r="Y10" s="19">
        <v>4034.9</v>
      </c>
      <c r="Z10" s="19">
        <v>4034.7999999999956</v>
      </c>
      <c r="AA10" s="19">
        <v>0</v>
      </c>
      <c r="AB10" s="19">
        <f t="shared" ref="AB10:AB46" si="10">R10-SUM(S10:AA10)</f>
        <v>2433.8000000000029</v>
      </c>
      <c r="AC10" s="42"/>
      <c r="AD10" s="42"/>
      <c r="AE10" s="43"/>
      <c r="AF10" s="43"/>
      <c r="AG10" s="43"/>
      <c r="AH10" s="19">
        <f t="shared" ref="AH10:AH18" si="11">IF(OR(AC10="-",AD10="-",AE10="-",AF10="-",AG10="-"),0,IF(AB10&lt;0,0,AB10))</f>
        <v>2433.8000000000029</v>
      </c>
      <c r="AI10" s="1"/>
      <c r="AJ10" s="1"/>
      <c r="AK10" s="1"/>
      <c r="AL10" s="1"/>
    </row>
    <row r="11" spans="1:38" s="2" customFormat="1" ht="17.100000000000001" customHeight="1">
      <c r="A11" s="5" t="s">
        <v>7</v>
      </c>
      <c r="B11" s="4">
        <v>1</v>
      </c>
      <c r="C11" s="4">
        <v>10</v>
      </c>
      <c r="D11" s="4">
        <v>19874</v>
      </c>
      <c r="E11" s="4">
        <v>19518</v>
      </c>
      <c r="F11" s="51">
        <f t="shared" si="3"/>
        <v>0.98208714903894534</v>
      </c>
      <c r="G11" s="4">
        <v>15</v>
      </c>
      <c r="H11" s="4">
        <v>3</v>
      </c>
      <c r="I11" s="4">
        <v>3</v>
      </c>
      <c r="J11" s="51">
        <f t="shared" si="4"/>
        <v>1</v>
      </c>
      <c r="K11" s="4">
        <v>20</v>
      </c>
      <c r="L11" s="24">
        <f t="shared" si="5"/>
        <v>0.99402904967964845</v>
      </c>
      <c r="M11" s="48">
        <f>87502+175</f>
        <v>87677</v>
      </c>
      <c r="N11" s="19">
        <f t="shared" si="6"/>
        <v>63765.1</v>
      </c>
      <c r="O11" s="19">
        <f t="shared" si="7"/>
        <v>63384.4</v>
      </c>
      <c r="P11" s="19">
        <f t="shared" si="8"/>
        <v>-380.69999999999709</v>
      </c>
      <c r="Q11" s="19">
        <v>12731.7</v>
      </c>
      <c r="R11" s="19">
        <f t="shared" si="9"/>
        <v>50652.7</v>
      </c>
      <c r="S11" s="19">
        <v>7954.7</v>
      </c>
      <c r="T11" s="19">
        <v>7954.8</v>
      </c>
      <c r="U11" s="19"/>
      <c r="V11" s="19"/>
      <c r="W11" s="19">
        <v>7954.7000000000007</v>
      </c>
      <c r="X11" s="19">
        <v>11934.8</v>
      </c>
      <c r="Y11" s="19">
        <v>5766.9000000000015</v>
      </c>
      <c r="Z11" s="19">
        <v>5766.7999999999956</v>
      </c>
      <c r="AA11" s="19">
        <v>0</v>
      </c>
      <c r="AB11" s="19">
        <f t="shared" si="10"/>
        <v>3320</v>
      </c>
      <c r="AC11" s="42"/>
      <c r="AD11" s="42"/>
      <c r="AE11" s="43"/>
      <c r="AF11" s="43"/>
      <c r="AG11" s="43"/>
      <c r="AH11" s="19">
        <f t="shared" si="11"/>
        <v>3320</v>
      </c>
      <c r="AI11" s="1"/>
      <c r="AJ11" s="1"/>
      <c r="AK11" s="1"/>
      <c r="AL11" s="1"/>
    </row>
    <row r="12" spans="1:38" s="2" customFormat="1" ht="17.100000000000001" customHeight="1">
      <c r="A12" s="5" t="s">
        <v>8</v>
      </c>
      <c r="B12" s="4">
        <v>1</v>
      </c>
      <c r="C12" s="4">
        <v>10</v>
      </c>
      <c r="D12" s="4">
        <v>16714</v>
      </c>
      <c r="E12" s="4">
        <v>10395</v>
      </c>
      <c r="F12" s="51">
        <f t="shared" si="3"/>
        <v>0.62193370826851746</v>
      </c>
      <c r="G12" s="4">
        <v>15</v>
      </c>
      <c r="H12" s="4">
        <v>3</v>
      </c>
      <c r="I12" s="4">
        <v>3</v>
      </c>
      <c r="J12" s="51">
        <f t="shared" si="4"/>
        <v>1</v>
      </c>
      <c r="K12" s="4">
        <v>20</v>
      </c>
      <c r="L12" s="24">
        <f t="shared" si="5"/>
        <v>0.87397790275617238</v>
      </c>
      <c r="M12" s="48">
        <f>76681+67</f>
        <v>76748</v>
      </c>
      <c r="N12" s="19">
        <f t="shared" si="6"/>
        <v>55816.7</v>
      </c>
      <c r="O12" s="19">
        <f t="shared" si="7"/>
        <v>48782.6</v>
      </c>
      <c r="P12" s="19">
        <f t="shared" si="8"/>
        <v>-7034.0999999999985</v>
      </c>
      <c r="Q12" s="19"/>
      <c r="R12" s="19">
        <f t="shared" si="9"/>
        <v>48782.6</v>
      </c>
      <c r="S12" s="19">
        <v>6971</v>
      </c>
      <c r="T12" s="19">
        <v>6971</v>
      </c>
      <c r="U12" s="19"/>
      <c r="V12" s="19">
        <v>15336</v>
      </c>
      <c r="W12" s="19">
        <v>0</v>
      </c>
      <c r="X12" s="19">
        <v>0</v>
      </c>
      <c r="Y12" s="19">
        <v>0</v>
      </c>
      <c r="Z12" s="19">
        <v>5169.8000000000029</v>
      </c>
      <c r="AA12" s="19">
        <v>8236.8999999999942</v>
      </c>
      <c r="AB12" s="19">
        <f t="shared" si="10"/>
        <v>6097.9000000000015</v>
      </c>
      <c r="AC12" s="42"/>
      <c r="AD12" s="42"/>
      <c r="AE12" s="43" t="s">
        <v>61</v>
      </c>
      <c r="AF12" s="43"/>
      <c r="AG12" s="43"/>
      <c r="AH12" s="19">
        <f t="shared" si="11"/>
        <v>0</v>
      </c>
      <c r="AI12" s="1"/>
      <c r="AJ12" s="1"/>
      <c r="AK12" s="1"/>
      <c r="AL12" s="1"/>
    </row>
    <row r="13" spans="1:38" s="2" customFormat="1" ht="17.100000000000001" customHeight="1">
      <c r="A13" s="5" t="s">
        <v>9</v>
      </c>
      <c r="B13" s="4">
        <v>1</v>
      </c>
      <c r="C13" s="4">
        <v>10</v>
      </c>
      <c r="D13" s="4">
        <v>9954</v>
      </c>
      <c r="E13" s="4">
        <v>10221</v>
      </c>
      <c r="F13" s="51">
        <f t="shared" si="3"/>
        <v>1.0268233875828812</v>
      </c>
      <c r="G13" s="4">
        <v>15</v>
      </c>
      <c r="H13" s="4">
        <v>3</v>
      </c>
      <c r="I13" s="4">
        <v>1</v>
      </c>
      <c r="J13" s="51">
        <f t="shared" si="4"/>
        <v>0.33333333333333331</v>
      </c>
      <c r="K13" s="4">
        <v>20</v>
      </c>
      <c r="L13" s="24">
        <f t="shared" si="5"/>
        <v>0.7126448328979974</v>
      </c>
      <c r="M13" s="48">
        <v>84969</v>
      </c>
      <c r="N13" s="19">
        <f t="shared" si="6"/>
        <v>61795.6</v>
      </c>
      <c r="O13" s="19">
        <f t="shared" si="7"/>
        <v>44038.3</v>
      </c>
      <c r="P13" s="19">
        <f t="shared" si="8"/>
        <v>-17757.299999999996</v>
      </c>
      <c r="Q13" s="19">
        <v>5790.6</v>
      </c>
      <c r="R13" s="19">
        <f t="shared" si="9"/>
        <v>38247.700000000004</v>
      </c>
      <c r="S13" s="19">
        <v>7724.5</v>
      </c>
      <c r="T13" s="19">
        <v>7724.4</v>
      </c>
      <c r="U13" s="19"/>
      <c r="V13" s="19"/>
      <c r="W13" s="19">
        <v>7724.5000000000018</v>
      </c>
      <c r="X13" s="19">
        <v>8923.7999999999993</v>
      </c>
      <c r="Y13" s="19">
        <v>6576.7999999999993</v>
      </c>
      <c r="Z13" s="19">
        <v>6576.6000000000058</v>
      </c>
      <c r="AA13" s="19">
        <v>0</v>
      </c>
      <c r="AB13" s="19">
        <f t="shared" si="10"/>
        <v>-7002.9000000000015</v>
      </c>
      <c r="AC13" s="42"/>
      <c r="AD13" s="42"/>
      <c r="AE13" s="43"/>
      <c r="AF13" s="43"/>
      <c r="AG13" s="43"/>
      <c r="AH13" s="19">
        <f t="shared" si="11"/>
        <v>0</v>
      </c>
      <c r="AI13" s="1"/>
      <c r="AJ13" s="1"/>
      <c r="AK13" s="1"/>
      <c r="AL13" s="1"/>
    </row>
    <row r="14" spans="1:38" s="2" customFormat="1" ht="17.100000000000001" customHeight="1">
      <c r="A14" s="5" t="s">
        <v>10</v>
      </c>
      <c r="B14" s="4">
        <v>1</v>
      </c>
      <c r="C14" s="4">
        <v>10</v>
      </c>
      <c r="D14" s="4">
        <v>5204</v>
      </c>
      <c r="E14" s="4">
        <v>3277</v>
      </c>
      <c r="F14" s="51">
        <f t="shared" si="3"/>
        <v>0.62970791698693318</v>
      </c>
      <c r="G14" s="4">
        <v>15</v>
      </c>
      <c r="H14" s="4">
        <v>3</v>
      </c>
      <c r="I14" s="4">
        <v>2</v>
      </c>
      <c r="J14" s="51">
        <f t="shared" si="4"/>
        <v>0.66666666666666663</v>
      </c>
      <c r="K14" s="4">
        <v>20</v>
      </c>
      <c r="L14" s="24">
        <f t="shared" si="5"/>
        <v>0.72842115751416292</v>
      </c>
      <c r="M14" s="48">
        <v>33821</v>
      </c>
      <c r="N14" s="19">
        <f t="shared" si="6"/>
        <v>24597.1</v>
      </c>
      <c r="O14" s="19">
        <f t="shared" si="7"/>
        <v>17917</v>
      </c>
      <c r="P14" s="19">
        <f t="shared" si="8"/>
        <v>-6680.0999999999985</v>
      </c>
      <c r="Q14" s="19"/>
      <c r="R14" s="19">
        <f t="shared" si="9"/>
        <v>17917</v>
      </c>
      <c r="S14" s="19">
        <v>3074.6</v>
      </c>
      <c r="T14" s="19">
        <v>3074.7000000000003</v>
      </c>
      <c r="U14" s="19"/>
      <c r="V14" s="19"/>
      <c r="W14" s="19">
        <v>3074.5999999999995</v>
      </c>
      <c r="X14" s="19">
        <v>0</v>
      </c>
      <c r="Y14" s="19">
        <v>1158</v>
      </c>
      <c r="Z14" s="19">
        <v>2076.3999999999996</v>
      </c>
      <c r="AA14" s="19">
        <v>3219.1000000000004</v>
      </c>
      <c r="AB14" s="19">
        <f t="shared" si="10"/>
        <v>2239.6000000000004</v>
      </c>
      <c r="AC14" s="42"/>
      <c r="AD14" s="42"/>
      <c r="AE14" s="43"/>
      <c r="AF14" s="43"/>
      <c r="AG14" s="43"/>
      <c r="AH14" s="19">
        <f t="shared" si="11"/>
        <v>2239.6000000000004</v>
      </c>
      <c r="AI14" s="1"/>
      <c r="AJ14" s="1"/>
      <c r="AK14" s="1"/>
    </row>
    <row r="15" spans="1:38" s="2" customFormat="1" ht="16.5" customHeight="1">
      <c r="A15" s="5" t="s">
        <v>11</v>
      </c>
      <c r="B15" s="4">
        <v>1</v>
      </c>
      <c r="C15" s="4">
        <v>10</v>
      </c>
      <c r="D15" s="4">
        <v>7030</v>
      </c>
      <c r="E15" s="4">
        <v>7081</v>
      </c>
      <c r="F15" s="51">
        <f t="shared" si="3"/>
        <v>1.0072546230440966</v>
      </c>
      <c r="G15" s="4">
        <v>15</v>
      </c>
      <c r="H15" s="4">
        <v>3</v>
      </c>
      <c r="I15" s="4">
        <v>2</v>
      </c>
      <c r="J15" s="51">
        <f t="shared" si="4"/>
        <v>0.66666666666666663</v>
      </c>
      <c r="K15" s="4">
        <v>20</v>
      </c>
      <c r="L15" s="24">
        <f t="shared" si="5"/>
        <v>0.85427005953321755</v>
      </c>
      <c r="M15" s="48">
        <f>65667+808</f>
        <v>66475</v>
      </c>
      <c r="N15" s="19">
        <f t="shared" si="6"/>
        <v>48345.5</v>
      </c>
      <c r="O15" s="19">
        <f t="shared" si="7"/>
        <v>41300.1</v>
      </c>
      <c r="P15" s="19">
        <f t="shared" si="8"/>
        <v>-7045.4000000000015</v>
      </c>
      <c r="Q15" s="19">
        <v>3738.7</v>
      </c>
      <c r="R15" s="19">
        <f t="shared" si="9"/>
        <v>37561.4</v>
      </c>
      <c r="S15" s="19">
        <v>5969.7</v>
      </c>
      <c r="T15" s="19">
        <v>5969.8</v>
      </c>
      <c r="U15" s="19"/>
      <c r="V15" s="19"/>
      <c r="W15" s="19">
        <v>5969.7000000000007</v>
      </c>
      <c r="X15" s="19">
        <v>6069.5999999999985</v>
      </c>
      <c r="Y15" s="19">
        <v>0</v>
      </c>
      <c r="Z15" s="19">
        <v>10119.999999999996</v>
      </c>
      <c r="AA15" s="19">
        <v>0</v>
      </c>
      <c r="AB15" s="19">
        <f t="shared" si="10"/>
        <v>3462.6000000000058</v>
      </c>
      <c r="AC15" s="42"/>
      <c r="AD15" s="42"/>
      <c r="AE15" s="43"/>
      <c r="AF15" s="43"/>
      <c r="AG15" s="43"/>
      <c r="AH15" s="19">
        <f t="shared" si="11"/>
        <v>3462.6000000000058</v>
      </c>
      <c r="AI15" s="1"/>
      <c r="AJ15" s="1"/>
      <c r="AK15" s="1"/>
    </row>
    <row r="16" spans="1:38" s="2" customFormat="1" ht="17.100000000000001" customHeight="1">
      <c r="A16" s="34" t="s">
        <v>12</v>
      </c>
      <c r="B16" s="4">
        <v>1</v>
      </c>
      <c r="C16" s="4">
        <v>10</v>
      </c>
      <c r="D16" s="4">
        <v>2746</v>
      </c>
      <c r="E16" s="4">
        <v>3281</v>
      </c>
      <c r="F16" s="51">
        <f t="shared" si="3"/>
        <v>1.1948288419519302</v>
      </c>
      <c r="G16" s="4">
        <v>15</v>
      </c>
      <c r="H16" s="4">
        <v>3</v>
      </c>
      <c r="I16" s="4">
        <v>2</v>
      </c>
      <c r="J16" s="51">
        <f t="shared" si="4"/>
        <v>0.66666666666666663</v>
      </c>
      <c r="K16" s="4">
        <v>20</v>
      </c>
      <c r="L16" s="24">
        <f t="shared" si="5"/>
        <v>0.91679479916916196</v>
      </c>
      <c r="M16" s="48">
        <v>35986</v>
      </c>
      <c r="N16" s="19">
        <f t="shared" si="6"/>
        <v>26171.599999999999</v>
      </c>
      <c r="O16" s="19">
        <f t="shared" si="7"/>
        <v>23994</v>
      </c>
      <c r="P16" s="19">
        <f t="shared" si="8"/>
        <v>-2177.5999999999985</v>
      </c>
      <c r="Q16" s="19">
        <v>776.2</v>
      </c>
      <c r="R16" s="19">
        <f t="shared" si="9"/>
        <v>23217.8</v>
      </c>
      <c r="S16" s="19">
        <v>3271.5</v>
      </c>
      <c r="T16" s="19">
        <v>3271.3999999999996</v>
      </c>
      <c r="U16" s="19"/>
      <c r="V16" s="19"/>
      <c r="W16" s="19">
        <v>3271.5</v>
      </c>
      <c r="X16" s="19">
        <v>5091.3000000000011</v>
      </c>
      <c r="Y16" s="19">
        <v>3532.3999999999978</v>
      </c>
      <c r="Z16" s="19">
        <v>3532.4000000000015</v>
      </c>
      <c r="AA16" s="19">
        <v>0</v>
      </c>
      <c r="AB16" s="19">
        <f t="shared" si="10"/>
        <v>1247.2999999999993</v>
      </c>
      <c r="AC16" s="42"/>
      <c r="AD16" s="42"/>
      <c r="AE16" s="43"/>
      <c r="AF16" s="43"/>
      <c r="AG16" s="43"/>
      <c r="AH16" s="19">
        <f t="shared" si="11"/>
        <v>1247.2999999999993</v>
      </c>
      <c r="AI16" s="1"/>
      <c r="AJ16" s="1"/>
      <c r="AK16" s="1"/>
    </row>
    <row r="17" spans="1:38" s="2" customFormat="1" ht="17.100000000000001" customHeight="1">
      <c r="A17" s="5" t="s">
        <v>13</v>
      </c>
      <c r="B17" s="4">
        <v>1</v>
      </c>
      <c r="C17" s="4">
        <v>10</v>
      </c>
      <c r="D17" s="4">
        <v>42934</v>
      </c>
      <c r="E17" s="4">
        <v>34913</v>
      </c>
      <c r="F17" s="51">
        <f t="shared" si="3"/>
        <v>0.81317836679554667</v>
      </c>
      <c r="G17" s="4">
        <v>15</v>
      </c>
      <c r="H17" s="4">
        <v>3</v>
      </c>
      <c r="I17" s="4">
        <v>2</v>
      </c>
      <c r="J17" s="51">
        <f t="shared" si="4"/>
        <v>0.66666666666666663</v>
      </c>
      <c r="K17" s="4">
        <v>20</v>
      </c>
      <c r="L17" s="24">
        <f t="shared" si="5"/>
        <v>0.78957797411703412</v>
      </c>
      <c r="M17" s="48">
        <v>74359</v>
      </c>
      <c r="N17" s="19">
        <f t="shared" si="6"/>
        <v>54079.3</v>
      </c>
      <c r="O17" s="19">
        <f t="shared" si="7"/>
        <v>42699.8</v>
      </c>
      <c r="P17" s="19">
        <f t="shared" si="8"/>
        <v>-11379.5</v>
      </c>
      <c r="Q17" s="19">
        <v>3362.2</v>
      </c>
      <c r="R17" s="19">
        <f t="shared" si="9"/>
        <v>39337.600000000006</v>
      </c>
      <c r="S17" s="19">
        <v>6759.9</v>
      </c>
      <c r="T17" s="19">
        <v>6759.9</v>
      </c>
      <c r="U17" s="19"/>
      <c r="V17" s="19"/>
      <c r="W17" s="19">
        <v>6759.9000000000015</v>
      </c>
      <c r="X17" s="19">
        <v>4362.5999999999985</v>
      </c>
      <c r="Y17" s="19">
        <v>5320.0000000000036</v>
      </c>
      <c r="Z17" s="19">
        <v>5320.0999999999985</v>
      </c>
      <c r="AA17" s="19">
        <v>0</v>
      </c>
      <c r="AB17" s="19">
        <f t="shared" si="10"/>
        <v>4055.2000000000044</v>
      </c>
      <c r="AC17" s="42"/>
      <c r="AD17" s="42"/>
      <c r="AE17" s="43"/>
      <c r="AF17" s="43"/>
      <c r="AG17" s="43"/>
      <c r="AH17" s="19">
        <f t="shared" si="11"/>
        <v>4055.2000000000044</v>
      </c>
      <c r="AI17" s="1"/>
      <c r="AJ17" s="1"/>
      <c r="AK17" s="1"/>
    </row>
    <row r="18" spans="1:38" s="2" customFormat="1" ht="17.100000000000001" customHeight="1">
      <c r="A18" s="5" t="s">
        <v>14</v>
      </c>
      <c r="B18" s="4">
        <v>1</v>
      </c>
      <c r="C18" s="4">
        <v>10</v>
      </c>
      <c r="D18" s="4">
        <v>3050</v>
      </c>
      <c r="E18" s="4">
        <v>1300</v>
      </c>
      <c r="F18" s="51">
        <f t="shared" si="3"/>
        <v>0.42622950819672129</v>
      </c>
      <c r="G18" s="4">
        <v>15</v>
      </c>
      <c r="H18" s="4">
        <v>3</v>
      </c>
      <c r="I18" s="4">
        <v>3</v>
      </c>
      <c r="J18" s="51">
        <f t="shared" si="4"/>
        <v>1</v>
      </c>
      <c r="K18" s="4">
        <v>20</v>
      </c>
      <c r="L18" s="24">
        <f t="shared" si="5"/>
        <v>0.808743169398907</v>
      </c>
      <c r="M18" s="48">
        <v>42920</v>
      </c>
      <c r="N18" s="19">
        <f t="shared" si="6"/>
        <v>31214.5</v>
      </c>
      <c r="O18" s="19">
        <f>ROUND(L18*N18,1)</f>
        <v>25244.5</v>
      </c>
      <c r="P18" s="19">
        <f>O18-N18</f>
        <v>-5970</v>
      </c>
      <c r="Q18" s="19"/>
      <c r="R18" s="19">
        <f>O18-Q18</f>
        <v>25244.5</v>
      </c>
      <c r="S18" s="19">
        <v>3901.8</v>
      </c>
      <c r="T18" s="19">
        <v>3901.8</v>
      </c>
      <c r="U18" s="19"/>
      <c r="V18" s="19"/>
      <c r="W18" s="19">
        <v>3901.8999999999996</v>
      </c>
      <c r="X18" s="19">
        <v>0</v>
      </c>
      <c r="Y18" s="19">
        <v>2092.8999999999996</v>
      </c>
      <c r="Z18" s="19">
        <v>2759.6000000000004</v>
      </c>
      <c r="AA18" s="19">
        <v>5531</v>
      </c>
      <c r="AB18" s="19">
        <f t="shared" si="10"/>
        <v>3155.5</v>
      </c>
      <c r="AC18" s="43"/>
      <c r="AD18" s="42"/>
      <c r="AE18" s="43"/>
      <c r="AF18" s="43"/>
      <c r="AG18" s="43"/>
      <c r="AH18" s="19">
        <f>IF(OR(AC18="-",AD18="-",AE18="-",AF18="-",AG18="-"),0,IF(AB18&lt;0,0,AB18))</f>
        <v>3155.5</v>
      </c>
      <c r="AI18" s="1"/>
      <c r="AJ18" s="1"/>
      <c r="AK18" s="1"/>
    </row>
    <row r="19" spans="1:38" s="2" customFormat="1" ht="17.100000000000001" customHeight="1">
      <c r="A19" s="7" t="s">
        <v>17</v>
      </c>
      <c r="B19" s="9"/>
      <c r="C19" s="9"/>
      <c r="D19" s="49">
        <f>SUM(D20:D46)</f>
        <v>446622</v>
      </c>
      <c r="E19" s="49">
        <f>SUM(E20:E46)</f>
        <v>407995</v>
      </c>
      <c r="F19" s="50">
        <f>IF(E19/D19&gt;1.2,IF((E19/D19-1.2)*0.1+1.2&gt;1.3,1.3,(E19/D19-1.2)*0.1+1.2),E19/D19)</f>
        <v>0.91351299309035383</v>
      </c>
      <c r="G19" s="9"/>
      <c r="H19" s="49"/>
      <c r="I19" s="49"/>
      <c r="J19" s="50"/>
      <c r="K19" s="9"/>
      <c r="L19" s="10"/>
      <c r="M19" s="45">
        <f t="shared" ref="M19:S19" si="12">SUM(M20:M46)</f>
        <v>924741</v>
      </c>
      <c r="N19" s="18">
        <f t="shared" si="12"/>
        <v>672538.9</v>
      </c>
      <c r="O19" s="18">
        <f t="shared" si="12"/>
        <v>546667.4</v>
      </c>
      <c r="P19" s="18">
        <f t="shared" si="12"/>
        <v>-125871.49999999999</v>
      </c>
      <c r="Q19" s="18">
        <f>SUM(Q20:Q46)</f>
        <v>45822.600000000006</v>
      </c>
      <c r="R19" s="18">
        <f t="shared" si="12"/>
        <v>500844.79999999999</v>
      </c>
      <c r="S19" s="18">
        <f t="shared" si="12"/>
        <v>82483.899999999994</v>
      </c>
      <c r="T19" s="18">
        <f t="shared" ref="T19:AA19" si="13">SUM(T20:T46)</f>
        <v>82483.7</v>
      </c>
      <c r="U19" s="18">
        <f t="shared" si="13"/>
        <v>10000</v>
      </c>
      <c r="V19" s="18">
        <f t="shared" si="13"/>
        <v>0</v>
      </c>
      <c r="W19" s="18">
        <f t="shared" si="13"/>
        <v>77935.599999999991</v>
      </c>
      <c r="X19" s="18">
        <f t="shared" si="13"/>
        <v>67731.199999999997</v>
      </c>
      <c r="Y19" s="18">
        <f t="shared" si="13"/>
        <v>67621.800000000017</v>
      </c>
      <c r="Z19" s="18">
        <f t="shared" si="13"/>
        <v>69302</v>
      </c>
      <c r="AA19" s="18">
        <f t="shared" si="13"/>
        <v>32913.699999999997</v>
      </c>
      <c r="AB19" s="18">
        <f>SUM(AB20:AB46)</f>
        <v>10372.900000000005</v>
      </c>
      <c r="AC19" s="18"/>
      <c r="AD19" s="18"/>
      <c r="AE19" s="18"/>
      <c r="AF19" s="18"/>
      <c r="AG19" s="18"/>
      <c r="AH19" s="18">
        <f>SUM(AH20:AH46)</f>
        <v>41424.600000000006</v>
      </c>
      <c r="AI19" s="1"/>
      <c r="AJ19" s="1"/>
      <c r="AK19" s="1"/>
      <c r="AL19" s="1"/>
    </row>
    <row r="20" spans="1:38" s="2" customFormat="1" ht="17.100000000000001" customHeight="1">
      <c r="A20" s="6" t="s">
        <v>0</v>
      </c>
      <c r="B20" s="4">
        <v>1</v>
      </c>
      <c r="C20" s="4">
        <v>10</v>
      </c>
      <c r="D20" s="4">
        <v>414</v>
      </c>
      <c r="E20" s="4">
        <v>1025</v>
      </c>
      <c r="F20" s="51">
        <f>IF(G20=0,0,IF(D20=0,1,IF(E20&lt;0,0,IF(E20/D20&gt;1.2,IF((E20/D20-1.2)*0.1+1.2&gt;1.3,1.3,(E20/D20-1.2)*0.1+1.2),E20/D20))))</f>
        <v>1.3</v>
      </c>
      <c r="G20" s="4">
        <v>5</v>
      </c>
      <c r="H20" s="4">
        <v>3</v>
      </c>
      <c r="I20" s="4">
        <v>2</v>
      </c>
      <c r="J20" s="51">
        <f t="shared" si="4"/>
        <v>0.66666666666666663</v>
      </c>
      <c r="K20" s="4">
        <v>15</v>
      </c>
      <c r="L20" s="24">
        <f t="shared" si="5"/>
        <v>0.8833333333333333</v>
      </c>
      <c r="M20" s="48">
        <f>18433+5000</f>
        <v>23433</v>
      </c>
      <c r="N20" s="19">
        <f>ROUND(M20/11*8,1)</f>
        <v>17042.2</v>
      </c>
      <c r="O20" s="19">
        <f>ROUND(L20*N20,1)</f>
        <v>15053.9</v>
      </c>
      <c r="P20" s="19">
        <f>O20-N20</f>
        <v>-1988.3000000000011</v>
      </c>
      <c r="Q20" s="19">
        <v>5441.8</v>
      </c>
      <c r="R20" s="19">
        <f>O20-Q20</f>
        <v>9612.0999999999985</v>
      </c>
      <c r="S20" s="19">
        <v>1675.7</v>
      </c>
      <c r="T20" s="19">
        <v>1675.8</v>
      </c>
      <c r="U20" s="19"/>
      <c r="V20" s="19"/>
      <c r="W20" s="19">
        <v>1675.6999999999998</v>
      </c>
      <c r="X20" s="19">
        <v>4346.0000000000009</v>
      </c>
      <c r="Y20" s="19">
        <v>982.8</v>
      </c>
      <c r="Z20" s="19">
        <v>982.79999999999927</v>
      </c>
      <c r="AA20" s="19">
        <v>0</v>
      </c>
      <c r="AB20" s="19">
        <f t="shared" si="10"/>
        <v>-1726.7000000000007</v>
      </c>
      <c r="AC20" s="43"/>
      <c r="AD20" s="42"/>
      <c r="AE20" s="43"/>
      <c r="AF20" s="43"/>
      <c r="AG20" s="43"/>
      <c r="AH20" s="19">
        <f>IF(OR(AC20="-",AD20="-",AE20="-",AF20="-",AG20="-"),0,IF(AB20&lt;0,0,AB20))</f>
        <v>0</v>
      </c>
      <c r="AI20" s="1"/>
      <c r="AJ20" s="1"/>
      <c r="AK20" s="1"/>
      <c r="AL20" s="1"/>
    </row>
    <row r="21" spans="1:38" s="2" customFormat="1" ht="17.100000000000001" customHeight="1">
      <c r="A21" s="6" t="s">
        <v>18</v>
      </c>
      <c r="B21" s="4">
        <v>1</v>
      </c>
      <c r="C21" s="4">
        <v>10</v>
      </c>
      <c r="D21" s="4">
        <v>7764</v>
      </c>
      <c r="E21" s="4">
        <v>7452</v>
      </c>
      <c r="F21" s="51">
        <f t="shared" ref="F21:F46" si="14">IF(G21=0,0,IF(D21=0,1,IF(E21&lt;0,0,IF(E21/D21&gt;1.2,IF((E21/D21-1.2)*0.1+1.2&gt;1.3,1.3,(E21/D21-1.2)*0.1+1.2),E21/D21))))</f>
        <v>0.95981452859350846</v>
      </c>
      <c r="G21" s="4">
        <v>5</v>
      </c>
      <c r="H21" s="4">
        <v>3</v>
      </c>
      <c r="I21" s="4">
        <v>1</v>
      </c>
      <c r="J21" s="51">
        <f t="shared" si="4"/>
        <v>0.33333333333333331</v>
      </c>
      <c r="K21" s="4">
        <v>15</v>
      </c>
      <c r="L21" s="24">
        <f t="shared" si="5"/>
        <v>0.65996908809891808</v>
      </c>
      <c r="M21" s="48">
        <v>45503</v>
      </c>
      <c r="N21" s="19">
        <f t="shared" ref="N21:N46" si="15">ROUND(M21/11*8,1)</f>
        <v>33093.1</v>
      </c>
      <c r="O21" s="19">
        <f t="shared" ref="O21:O45" si="16">ROUND(L21*N21,1)</f>
        <v>21840.400000000001</v>
      </c>
      <c r="P21" s="19">
        <f t="shared" ref="P21:P45" si="17">O21-N21</f>
        <v>-11252.699999999997</v>
      </c>
      <c r="Q21" s="19"/>
      <c r="R21" s="19">
        <f t="shared" ref="R21:R45" si="18">O21-Q21</f>
        <v>21840.400000000001</v>
      </c>
      <c r="S21" s="19">
        <v>4136.6000000000004</v>
      </c>
      <c r="T21" s="19">
        <v>4136.6999999999989</v>
      </c>
      <c r="U21" s="19"/>
      <c r="V21" s="19"/>
      <c r="W21" s="19">
        <v>4136.6000000000004</v>
      </c>
      <c r="X21" s="19">
        <v>5299.0000000000018</v>
      </c>
      <c r="Y21" s="19">
        <v>4427.2999999999993</v>
      </c>
      <c r="Z21" s="19">
        <v>4427.2999999999993</v>
      </c>
      <c r="AA21" s="19">
        <v>0</v>
      </c>
      <c r="AB21" s="19">
        <f t="shared" si="10"/>
        <v>-4723.0999999999985</v>
      </c>
      <c r="AC21" s="42"/>
      <c r="AD21" s="42"/>
      <c r="AE21" s="43"/>
      <c r="AF21" s="43"/>
      <c r="AG21" s="43"/>
      <c r="AH21" s="19">
        <f t="shared" ref="AH21:AH46" si="19">IF(OR(AC21="-",AD21="-",AE21="-",AF21="-",AG21="-"),0,IF(AB21&lt;0,0,AB21))</f>
        <v>0</v>
      </c>
      <c r="AI21" s="1"/>
      <c r="AJ21" s="1"/>
      <c r="AK21" s="1"/>
      <c r="AL21" s="1"/>
    </row>
    <row r="22" spans="1:38" s="2" customFormat="1" ht="17.100000000000001" customHeight="1">
      <c r="A22" s="6" t="s">
        <v>19</v>
      </c>
      <c r="B22" s="4">
        <v>1</v>
      </c>
      <c r="C22" s="4">
        <v>10</v>
      </c>
      <c r="D22" s="4">
        <v>2188</v>
      </c>
      <c r="E22" s="4">
        <v>2519</v>
      </c>
      <c r="F22" s="51">
        <f t="shared" si="14"/>
        <v>1.1512797074954295</v>
      </c>
      <c r="G22" s="4">
        <v>5</v>
      </c>
      <c r="H22" s="4">
        <v>3</v>
      </c>
      <c r="I22" s="4">
        <v>1</v>
      </c>
      <c r="J22" s="51">
        <f t="shared" si="4"/>
        <v>0.33333333333333331</v>
      </c>
      <c r="K22" s="4">
        <v>15</v>
      </c>
      <c r="L22" s="24">
        <f t="shared" si="5"/>
        <v>0.69187995124923818</v>
      </c>
      <c r="M22" s="48">
        <v>23908</v>
      </c>
      <c r="N22" s="19">
        <f t="shared" si="15"/>
        <v>17387.599999999999</v>
      </c>
      <c r="O22" s="19">
        <f t="shared" si="16"/>
        <v>12030.1</v>
      </c>
      <c r="P22" s="19">
        <f t="shared" si="17"/>
        <v>-5357.4999999999982</v>
      </c>
      <c r="Q22" s="19"/>
      <c r="R22" s="19">
        <f t="shared" si="18"/>
        <v>12030.1</v>
      </c>
      <c r="S22" s="19">
        <v>2173.5</v>
      </c>
      <c r="T22" s="19">
        <v>2173.3999999999996</v>
      </c>
      <c r="U22" s="19"/>
      <c r="V22" s="19"/>
      <c r="W22" s="19">
        <v>2173.5</v>
      </c>
      <c r="X22" s="19">
        <v>2700.5</v>
      </c>
      <c r="Y22" s="19">
        <v>2305.3000000000011</v>
      </c>
      <c r="Z22" s="19">
        <v>2305.1999999999989</v>
      </c>
      <c r="AA22" s="19">
        <v>0</v>
      </c>
      <c r="AB22" s="19">
        <f t="shared" si="10"/>
        <v>-1801.2999999999993</v>
      </c>
      <c r="AC22" s="42"/>
      <c r="AD22" s="42"/>
      <c r="AE22" s="43"/>
      <c r="AF22" s="43"/>
      <c r="AG22" s="43"/>
      <c r="AH22" s="19">
        <f t="shared" si="19"/>
        <v>0</v>
      </c>
      <c r="AI22" s="1"/>
      <c r="AJ22" s="1"/>
      <c r="AK22" s="1"/>
      <c r="AL22" s="1"/>
    </row>
    <row r="23" spans="1:38" s="2" customFormat="1" ht="17.100000000000001" customHeight="1">
      <c r="A23" s="6" t="s">
        <v>20</v>
      </c>
      <c r="B23" s="4">
        <v>1</v>
      </c>
      <c r="C23" s="4">
        <v>10</v>
      </c>
      <c r="D23" s="4">
        <v>3252</v>
      </c>
      <c r="E23" s="4">
        <v>1715</v>
      </c>
      <c r="F23" s="51">
        <f t="shared" si="14"/>
        <v>0.5273677736777368</v>
      </c>
      <c r="G23" s="4">
        <v>5</v>
      </c>
      <c r="H23" s="4">
        <v>3</v>
      </c>
      <c r="I23" s="4">
        <v>3</v>
      </c>
      <c r="J23" s="51">
        <f t="shared" si="4"/>
        <v>1</v>
      </c>
      <c r="K23" s="4">
        <v>15</v>
      </c>
      <c r="L23" s="24">
        <f t="shared" si="5"/>
        <v>0.92122796227962289</v>
      </c>
      <c r="M23" s="48">
        <f>31503+5000</f>
        <v>36503</v>
      </c>
      <c r="N23" s="19">
        <f t="shared" si="15"/>
        <v>26547.599999999999</v>
      </c>
      <c r="O23" s="19">
        <f t="shared" si="16"/>
        <v>24456.400000000001</v>
      </c>
      <c r="P23" s="19">
        <f t="shared" si="17"/>
        <v>-2091.1999999999971</v>
      </c>
      <c r="Q23" s="19"/>
      <c r="R23" s="19">
        <f t="shared" si="18"/>
        <v>24456.400000000001</v>
      </c>
      <c r="S23" s="19">
        <v>2863.9</v>
      </c>
      <c r="T23" s="19">
        <v>2863.9</v>
      </c>
      <c r="U23" s="19"/>
      <c r="V23" s="19"/>
      <c r="W23" s="19">
        <v>2863.9000000000005</v>
      </c>
      <c r="X23" s="19">
        <v>1411.2999999999993</v>
      </c>
      <c r="Y23" s="19">
        <v>2500.7999999999993</v>
      </c>
      <c r="Z23" s="19">
        <v>2500.7000000000007</v>
      </c>
      <c r="AA23" s="19">
        <v>6394.9000000000015</v>
      </c>
      <c r="AB23" s="19">
        <f t="shared" si="10"/>
        <v>3057</v>
      </c>
      <c r="AC23" s="42"/>
      <c r="AD23" s="42"/>
      <c r="AE23" s="43"/>
      <c r="AF23" s="43"/>
      <c r="AG23" s="43"/>
      <c r="AH23" s="19">
        <f t="shared" si="19"/>
        <v>3057</v>
      </c>
      <c r="AI23" s="1"/>
      <c r="AJ23" s="1"/>
      <c r="AK23" s="1"/>
      <c r="AL23" s="1"/>
    </row>
    <row r="24" spans="1:38" s="2" customFormat="1" ht="17.100000000000001" customHeight="1">
      <c r="A24" s="6" t="s">
        <v>21</v>
      </c>
      <c r="B24" s="4">
        <v>1</v>
      </c>
      <c r="C24" s="4">
        <v>10</v>
      </c>
      <c r="D24" s="4">
        <v>1724</v>
      </c>
      <c r="E24" s="4">
        <v>656</v>
      </c>
      <c r="F24" s="51">
        <f t="shared" si="14"/>
        <v>0.38051044083526681</v>
      </c>
      <c r="G24" s="4">
        <v>5</v>
      </c>
      <c r="H24" s="4">
        <v>3</v>
      </c>
      <c r="I24" s="4">
        <v>2</v>
      </c>
      <c r="J24" s="51">
        <f t="shared" si="4"/>
        <v>0.66666666666666663</v>
      </c>
      <c r="K24" s="4">
        <v>15</v>
      </c>
      <c r="L24" s="24">
        <f t="shared" si="5"/>
        <v>0.73008507347254448</v>
      </c>
      <c r="M24" s="48">
        <f>32714+5000</f>
        <v>37714</v>
      </c>
      <c r="N24" s="19">
        <f t="shared" si="15"/>
        <v>27428.400000000001</v>
      </c>
      <c r="O24" s="19">
        <f t="shared" si="16"/>
        <v>20025.099999999999</v>
      </c>
      <c r="P24" s="19">
        <f t="shared" si="17"/>
        <v>-7403.3000000000029</v>
      </c>
      <c r="Q24" s="19"/>
      <c r="R24" s="19">
        <f t="shared" si="18"/>
        <v>20025.099999999999</v>
      </c>
      <c r="S24" s="19">
        <v>2974</v>
      </c>
      <c r="T24" s="19">
        <v>2974</v>
      </c>
      <c r="U24" s="19"/>
      <c r="V24" s="19"/>
      <c r="W24" s="19">
        <v>2974</v>
      </c>
      <c r="X24" s="19">
        <v>3498.2000000000007</v>
      </c>
      <c r="Y24" s="19">
        <v>3105</v>
      </c>
      <c r="Z24" s="19">
        <v>3105.0999999999985</v>
      </c>
      <c r="AA24" s="19">
        <v>0</v>
      </c>
      <c r="AB24" s="19">
        <f t="shared" si="10"/>
        <v>1394.7999999999993</v>
      </c>
      <c r="AC24" s="42"/>
      <c r="AD24" s="42"/>
      <c r="AE24" s="43"/>
      <c r="AF24" s="43"/>
      <c r="AG24" s="43"/>
      <c r="AH24" s="19">
        <f t="shared" si="19"/>
        <v>1394.7999999999993</v>
      </c>
      <c r="AI24" s="1"/>
      <c r="AJ24" s="1"/>
      <c r="AK24" s="1"/>
      <c r="AL24" s="1"/>
    </row>
    <row r="25" spans="1:38" s="2" customFormat="1" ht="17.100000000000001" customHeight="1">
      <c r="A25" s="6" t="s">
        <v>22</v>
      </c>
      <c r="B25" s="4">
        <v>1</v>
      </c>
      <c r="C25" s="4">
        <v>10</v>
      </c>
      <c r="D25" s="4">
        <v>4740</v>
      </c>
      <c r="E25" s="4">
        <v>2528</v>
      </c>
      <c r="F25" s="51">
        <f t="shared" si="14"/>
        <v>0.53333333333333333</v>
      </c>
      <c r="G25" s="4">
        <v>5</v>
      </c>
      <c r="H25" s="4">
        <v>3</v>
      </c>
      <c r="I25" s="4">
        <v>2</v>
      </c>
      <c r="J25" s="51">
        <f t="shared" si="4"/>
        <v>0.66666666666666663</v>
      </c>
      <c r="K25" s="4">
        <v>15</v>
      </c>
      <c r="L25" s="24">
        <f t="shared" si="5"/>
        <v>0.75555555555555542</v>
      </c>
      <c r="M25" s="48">
        <v>36690</v>
      </c>
      <c r="N25" s="19">
        <f t="shared" si="15"/>
        <v>26683.599999999999</v>
      </c>
      <c r="O25" s="19">
        <f t="shared" si="16"/>
        <v>20160.900000000001</v>
      </c>
      <c r="P25" s="19">
        <f t="shared" si="17"/>
        <v>-6522.6999999999971</v>
      </c>
      <c r="Q25" s="19"/>
      <c r="R25" s="19">
        <f t="shared" si="18"/>
        <v>20160.900000000001</v>
      </c>
      <c r="S25" s="19">
        <v>3335.5</v>
      </c>
      <c r="T25" s="19">
        <v>3335.3999999999996</v>
      </c>
      <c r="U25" s="19"/>
      <c r="V25" s="19"/>
      <c r="W25" s="19">
        <v>3335.5</v>
      </c>
      <c r="X25" s="19">
        <v>593.89999999999964</v>
      </c>
      <c r="Y25" s="19">
        <v>2650.1000000000004</v>
      </c>
      <c r="Z25" s="19">
        <v>2650</v>
      </c>
      <c r="AA25" s="19">
        <v>1740.5000000000018</v>
      </c>
      <c r="AB25" s="19">
        <f t="shared" si="10"/>
        <v>2520</v>
      </c>
      <c r="AC25" s="43"/>
      <c r="AD25" s="42"/>
      <c r="AE25" s="43"/>
      <c r="AF25" s="43"/>
      <c r="AG25" s="43"/>
      <c r="AH25" s="19">
        <f t="shared" si="19"/>
        <v>2520</v>
      </c>
      <c r="AI25" s="1"/>
      <c r="AJ25" s="1"/>
      <c r="AK25" s="1"/>
      <c r="AL25" s="1"/>
    </row>
    <row r="26" spans="1:38" s="2" customFormat="1" ht="17.100000000000001" customHeight="1">
      <c r="A26" s="6" t="s">
        <v>23</v>
      </c>
      <c r="B26" s="4">
        <v>1</v>
      </c>
      <c r="C26" s="4">
        <v>10</v>
      </c>
      <c r="D26" s="4">
        <v>149886</v>
      </c>
      <c r="E26" s="4">
        <v>104050</v>
      </c>
      <c r="F26" s="51">
        <f t="shared" si="14"/>
        <v>0.69419425429993464</v>
      </c>
      <c r="G26" s="4">
        <v>5</v>
      </c>
      <c r="H26" s="4">
        <v>3</v>
      </c>
      <c r="I26" s="4">
        <v>0</v>
      </c>
      <c r="J26" s="51">
        <f t="shared" si="4"/>
        <v>0</v>
      </c>
      <c r="K26" s="4">
        <v>15</v>
      </c>
      <c r="L26" s="24">
        <f t="shared" si="5"/>
        <v>0.44903237571665577</v>
      </c>
      <c r="M26" s="48">
        <v>38851</v>
      </c>
      <c r="N26" s="19">
        <f t="shared" si="15"/>
        <v>28255.3</v>
      </c>
      <c r="O26" s="19">
        <f t="shared" si="16"/>
        <v>12687.5</v>
      </c>
      <c r="P26" s="19">
        <f t="shared" si="17"/>
        <v>-15567.8</v>
      </c>
      <c r="Q26" s="19">
        <v>3309.8</v>
      </c>
      <c r="R26" s="19">
        <f t="shared" si="18"/>
        <v>9377.7000000000007</v>
      </c>
      <c r="S26" s="19">
        <v>3531.9</v>
      </c>
      <c r="T26" s="19">
        <v>3531.9</v>
      </c>
      <c r="U26" s="19"/>
      <c r="V26" s="19"/>
      <c r="W26" s="19">
        <v>3531.9000000000005</v>
      </c>
      <c r="X26" s="19">
        <v>3014.1999999999989</v>
      </c>
      <c r="Y26" s="19">
        <v>2575.0000000000018</v>
      </c>
      <c r="Z26" s="19">
        <v>2575</v>
      </c>
      <c r="AA26" s="19">
        <v>0</v>
      </c>
      <c r="AB26" s="19">
        <f t="shared" si="10"/>
        <v>-9382.2000000000007</v>
      </c>
      <c r="AC26" s="42"/>
      <c r="AD26" s="42"/>
      <c r="AE26" s="43"/>
      <c r="AF26" s="43"/>
      <c r="AG26" s="43"/>
      <c r="AH26" s="19">
        <f t="shared" si="19"/>
        <v>0</v>
      </c>
      <c r="AI26" s="1"/>
      <c r="AJ26" s="1"/>
      <c r="AK26" s="1"/>
      <c r="AL26" s="1"/>
    </row>
    <row r="27" spans="1:38" s="2" customFormat="1" ht="16.5" customHeight="1">
      <c r="A27" s="6" t="s">
        <v>24</v>
      </c>
      <c r="B27" s="4">
        <v>1</v>
      </c>
      <c r="C27" s="4">
        <v>10</v>
      </c>
      <c r="D27" s="4">
        <v>1428</v>
      </c>
      <c r="E27" s="4">
        <v>1613</v>
      </c>
      <c r="F27" s="51">
        <f t="shared" si="14"/>
        <v>1.1295518207282913</v>
      </c>
      <c r="G27" s="4">
        <v>5</v>
      </c>
      <c r="H27" s="4">
        <v>3</v>
      </c>
      <c r="I27" s="4">
        <v>3</v>
      </c>
      <c r="J27" s="51">
        <f t="shared" si="4"/>
        <v>1</v>
      </c>
      <c r="K27" s="4">
        <v>15</v>
      </c>
      <c r="L27" s="24">
        <f t="shared" si="5"/>
        <v>1.0215919701213818</v>
      </c>
      <c r="M27" s="48">
        <v>15746</v>
      </c>
      <c r="N27" s="19">
        <f t="shared" si="15"/>
        <v>11451.6</v>
      </c>
      <c r="O27" s="19">
        <f t="shared" si="16"/>
        <v>11698.9</v>
      </c>
      <c r="P27" s="19">
        <f t="shared" si="17"/>
        <v>247.29999999999927</v>
      </c>
      <c r="Q27" s="19"/>
      <c r="R27" s="19">
        <f t="shared" si="18"/>
        <v>11698.9</v>
      </c>
      <c r="S27" s="19">
        <v>1431.5</v>
      </c>
      <c r="T27" s="19">
        <v>1431.4</v>
      </c>
      <c r="U27" s="19"/>
      <c r="V27" s="19"/>
      <c r="W27" s="19">
        <v>1431.4999999999995</v>
      </c>
      <c r="X27" s="19">
        <v>1854.6000000000004</v>
      </c>
      <c r="Y27" s="19">
        <v>1537.3000000000002</v>
      </c>
      <c r="Z27" s="19">
        <v>1537.1999999999998</v>
      </c>
      <c r="AA27" s="19">
        <v>1013.1000000000004</v>
      </c>
      <c r="AB27" s="19">
        <f t="shared" si="10"/>
        <v>1462.2999999999993</v>
      </c>
      <c r="AC27" s="42"/>
      <c r="AD27" s="42"/>
      <c r="AE27" s="43"/>
      <c r="AF27" s="43"/>
      <c r="AG27" s="43"/>
      <c r="AH27" s="19">
        <f t="shared" si="19"/>
        <v>1462.2999999999993</v>
      </c>
      <c r="AI27" s="1"/>
      <c r="AJ27" s="1"/>
      <c r="AK27" s="1"/>
      <c r="AL27" s="1"/>
    </row>
    <row r="28" spans="1:38" s="2" customFormat="1" ht="17.100000000000001" customHeight="1">
      <c r="A28" s="6" t="s">
        <v>25</v>
      </c>
      <c r="B28" s="4">
        <v>1</v>
      </c>
      <c r="C28" s="4">
        <v>10</v>
      </c>
      <c r="D28" s="4">
        <v>1824</v>
      </c>
      <c r="E28" s="4">
        <v>476</v>
      </c>
      <c r="F28" s="51">
        <f t="shared" si="14"/>
        <v>0.26096491228070173</v>
      </c>
      <c r="G28" s="4">
        <v>5</v>
      </c>
      <c r="H28" s="4">
        <v>3</v>
      </c>
      <c r="I28" s="4">
        <v>2</v>
      </c>
      <c r="J28" s="51">
        <f t="shared" si="4"/>
        <v>0.66666666666666663</v>
      </c>
      <c r="K28" s="4">
        <v>15</v>
      </c>
      <c r="L28" s="24">
        <f t="shared" si="5"/>
        <v>0.71016081871345027</v>
      </c>
      <c r="M28" s="48">
        <v>21803</v>
      </c>
      <c r="N28" s="19">
        <f t="shared" si="15"/>
        <v>15856.7</v>
      </c>
      <c r="O28" s="19">
        <f t="shared" si="16"/>
        <v>11260.8</v>
      </c>
      <c r="P28" s="19">
        <f t="shared" si="17"/>
        <v>-4595.9000000000015</v>
      </c>
      <c r="Q28" s="19"/>
      <c r="R28" s="19">
        <f t="shared" si="18"/>
        <v>11260.8</v>
      </c>
      <c r="S28" s="19">
        <v>1982.1</v>
      </c>
      <c r="T28" s="19">
        <v>1982.1</v>
      </c>
      <c r="U28" s="19"/>
      <c r="V28" s="19"/>
      <c r="W28" s="19">
        <v>1982.1000000000004</v>
      </c>
      <c r="X28" s="19">
        <v>165.19999999999982</v>
      </c>
      <c r="Y28" s="19">
        <v>1527.8000000000002</v>
      </c>
      <c r="Z28" s="19">
        <v>1527.8000000000002</v>
      </c>
      <c r="AA28" s="19">
        <v>686.10000000000036</v>
      </c>
      <c r="AB28" s="19">
        <f t="shared" si="10"/>
        <v>1407.5999999999985</v>
      </c>
      <c r="AC28" s="42"/>
      <c r="AD28" s="42"/>
      <c r="AE28" s="43"/>
      <c r="AF28" s="43"/>
      <c r="AG28" s="43"/>
      <c r="AH28" s="19">
        <f t="shared" si="19"/>
        <v>1407.5999999999985</v>
      </c>
      <c r="AI28" s="1"/>
      <c r="AJ28" s="1"/>
      <c r="AK28" s="1"/>
      <c r="AL28" s="1"/>
    </row>
    <row r="29" spans="1:38" s="2" customFormat="1" ht="17.100000000000001" customHeight="1">
      <c r="A29" s="6" t="s">
        <v>26</v>
      </c>
      <c r="B29" s="4">
        <v>1</v>
      </c>
      <c r="C29" s="4">
        <v>10</v>
      </c>
      <c r="D29" s="4">
        <v>752</v>
      </c>
      <c r="E29" s="4">
        <v>1169</v>
      </c>
      <c r="F29" s="51">
        <f t="shared" si="14"/>
        <v>1.2354521276595745</v>
      </c>
      <c r="G29" s="4">
        <v>5</v>
      </c>
      <c r="H29" s="4">
        <v>3</v>
      </c>
      <c r="I29" s="4">
        <v>2</v>
      </c>
      <c r="J29" s="51">
        <f t="shared" si="4"/>
        <v>0.66666666666666663</v>
      </c>
      <c r="K29" s="4">
        <v>15</v>
      </c>
      <c r="L29" s="24">
        <f t="shared" si="5"/>
        <v>0.87257535460992908</v>
      </c>
      <c r="M29" s="48">
        <v>24597</v>
      </c>
      <c r="N29" s="19">
        <f t="shared" si="15"/>
        <v>17888.7</v>
      </c>
      <c r="O29" s="19">
        <f t="shared" si="16"/>
        <v>15609.2</v>
      </c>
      <c r="P29" s="19">
        <f t="shared" si="17"/>
        <v>-2279.5</v>
      </c>
      <c r="Q29" s="19"/>
      <c r="R29" s="19">
        <f t="shared" si="18"/>
        <v>15609.2</v>
      </c>
      <c r="S29" s="19">
        <v>2236.1</v>
      </c>
      <c r="T29" s="19">
        <v>2236.1</v>
      </c>
      <c r="U29" s="19"/>
      <c r="V29" s="19"/>
      <c r="W29" s="19">
        <v>2236.1000000000004</v>
      </c>
      <c r="X29" s="19">
        <v>3051.9000000000005</v>
      </c>
      <c r="Y29" s="19">
        <v>2440</v>
      </c>
      <c r="Z29" s="19">
        <v>2440</v>
      </c>
      <c r="AA29" s="19">
        <v>0</v>
      </c>
      <c r="AB29" s="19">
        <f t="shared" si="10"/>
        <v>969</v>
      </c>
      <c r="AC29" s="43"/>
      <c r="AD29" s="42"/>
      <c r="AE29" s="43"/>
      <c r="AF29" s="43"/>
      <c r="AG29" s="43"/>
      <c r="AH29" s="19">
        <f t="shared" si="19"/>
        <v>969</v>
      </c>
      <c r="AI29" s="1"/>
      <c r="AJ29" s="1"/>
      <c r="AK29" s="1"/>
      <c r="AL29" s="1"/>
    </row>
    <row r="30" spans="1:38" s="2" customFormat="1" ht="17.100000000000001" customHeight="1">
      <c r="A30" s="6" t="s">
        <v>27</v>
      </c>
      <c r="B30" s="4">
        <v>1</v>
      </c>
      <c r="C30" s="4">
        <v>10</v>
      </c>
      <c r="D30" s="4">
        <v>20888</v>
      </c>
      <c r="E30" s="4">
        <v>18023</v>
      </c>
      <c r="F30" s="51">
        <f t="shared" si="14"/>
        <v>0.86283990808119493</v>
      </c>
      <c r="G30" s="4">
        <v>5</v>
      </c>
      <c r="H30" s="4">
        <v>3</v>
      </c>
      <c r="I30" s="4">
        <v>3</v>
      </c>
      <c r="J30" s="51">
        <f t="shared" si="4"/>
        <v>1</v>
      </c>
      <c r="K30" s="4">
        <v>15</v>
      </c>
      <c r="L30" s="24">
        <f t="shared" si="5"/>
        <v>0.97713998468019914</v>
      </c>
      <c r="M30" s="48">
        <v>25192</v>
      </c>
      <c r="N30" s="19">
        <f t="shared" si="15"/>
        <v>18321.5</v>
      </c>
      <c r="O30" s="19">
        <f t="shared" si="16"/>
        <v>17902.7</v>
      </c>
      <c r="P30" s="19">
        <f t="shared" si="17"/>
        <v>-418.79999999999927</v>
      </c>
      <c r="Q30" s="19"/>
      <c r="R30" s="19">
        <f t="shared" si="18"/>
        <v>17902.7</v>
      </c>
      <c r="S30" s="19">
        <v>2290.1999999999998</v>
      </c>
      <c r="T30" s="19">
        <v>2290.1999999999998</v>
      </c>
      <c r="U30" s="19"/>
      <c r="V30" s="19"/>
      <c r="W30" s="19">
        <v>2290.1000000000004</v>
      </c>
      <c r="X30" s="19">
        <v>2276.7999999999993</v>
      </c>
      <c r="Y30" s="19">
        <v>2286.8000000000011</v>
      </c>
      <c r="Z30" s="19">
        <v>2286.7999999999993</v>
      </c>
      <c r="AA30" s="19">
        <v>1943.8999999999996</v>
      </c>
      <c r="AB30" s="19">
        <f t="shared" si="10"/>
        <v>2237.9000000000015</v>
      </c>
      <c r="AC30" s="42"/>
      <c r="AD30" s="42"/>
      <c r="AE30" s="43"/>
      <c r="AF30" s="43"/>
      <c r="AG30" s="43"/>
      <c r="AH30" s="19">
        <f t="shared" si="19"/>
        <v>2237.9000000000015</v>
      </c>
      <c r="AI30" s="1"/>
      <c r="AJ30" s="1"/>
      <c r="AK30" s="1"/>
      <c r="AL30" s="1"/>
    </row>
    <row r="31" spans="1:38" s="2" customFormat="1" ht="16.5" customHeight="1">
      <c r="A31" s="6" t="s">
        <v>28</v>
      </c>
      <c r="B31" s="4">
        <v>1</v>
      </c>
      <c r="C31" s="4">
        <v>10</v>
      </c>
      <c r="D31" s="4">
        <v>7056</v>
      </c>
      <c r="E31" s="4">
        <v>6472</v>
      </c>
      <c r="F31" s="51">
        <f t="shared" si="14"/>
        <v>0.91723356009070289</v>
      </c>
      <c r="G31" s="4">
        <v>5</v>
      </c>
      <c r="H31" s="4">
        <v>3</v>
      </c>
      <c r="I31" s="4">
        <v>3</v>
      </c>
      <c r="J31" s="51">
        <f t="shared" si="4"/>
        <v>1</v>
      </c>
      <c r="K31" s="4">
        <v>15</v>
      </c>
      <c r="L31" s="24">
        <f t="shared" si="5"/>
        <v>0.98620559334845059</v>
      </c>
      <c r="M31" s="48">
        <f>47391+2420</f>
        <v>49811</v>
      </c>
      <c r="N31" s="19">
        <f t="shared" si="15"/>
        <v>36226.199999999997</v>
      </c>
      <c r="O31" s="19">
        <f t="shared" si="16"/>
        <v>35726.5</v>
      </c>
      <c r="P31" s="19">
        <f t="shared" si="17"/>
        <v>-499.69999999999709</v>
      </c>
      <c r="Q31" s="19"/>
      <c r="R31" s="19">
        <f t="shared" si="18"/>
        <v>35726.5</v>
      </c>
      <c r="S31" s="19">
        <v>4308.3</v>
      </c>
      <c r="T31" s="19">
        <v>4308.2</v>
      </c>
      <c r="U31" s="19"/>
      <c r="V31" s="19"/>
      <c r="W31" s="19">
        <v>4308.2999999999993</v>
      </c>
      <c r="X31" s="19">
        <v>6424.2999999999993</v>
      </c>
      <c r="Y31" s="19">
        <v>4837.3000000000029</v>
      </c>
      <c r="Z31" s="19">
        <v>4837.1999999999971</v>
      </c>
      <c r="AA31" s="19">
        <v>2237</v>
      </c>
      <c r="AB31" s="19">
        <f t="shared" si="10"/>
        <v>4465.9000000000015</v>
      </c>
      <c r="AC31" s="43"/>
      <c r="AD31" s="42"/>
      <c r="AE31" s="43"/>
      <c r="AF31" s="43"/>
      <c r="AG31" s="43"/>
      <c r="AH31" s="19">
        <f t="shared" si="19"/>
        <v>4465.9000000000015</v>
      </c>
      <c r="AI31" s="1"/>
      <c r="AJ31" s="1"/>
      <c r="AK31" s="1"/>
      <c r="AL31" s="1"/>
    </row>
    <row r="32" spans="1:38" s="2" customFormat="1" ht="17.100000000000001" customHeight="1">
      <c r="A32" s="6" t="s">
        <v>29</v>
      </c>
      <c r="B32" s="4">
        <v>1</v>
      </c>
      <c r="C32" s="4">
        <v>10</v>
      </c>
      <c r="D32" s="4">
        <v>946</v>
      </c>
      <c r="E32" s="4">
        <v>221</v>
      </c>
      <c r="F32" s="51">
        <f t="shared" si="14"/>
        <v>0.23361522198731502</v>
      </c>
      <c r="G32" s="4">
        <v>5</v>
      </c>
      <c r="H32" s="4">
        <v>3</v>
      </c>
      <c r="I32" s="4">
        <v>2</v>
      </c>
      <c r="J32" s="51">
        <f t="shared" si="4"/>
        <v>0.66666666666666663</v>
      </c>
      <c r="K32" s="4">
        <v>15</v>
      </c>
      <c r="L32" s="24">
        <f t="shared" si="5"/>
        <v>0.70560253699788578</v>
      </c>
      <c r="M32" s="48">
        <v>27466</v>
      </c>
      <c r="N32" s="19">
        <f t="shared" si="15"/>
        <v>19975.3</v>
      </c>
      <c r="O32" s="19">
        <f t="shared" si="16"/>
        <v>14094.6</v>
      </c>
      <c r="P32" s="19">
        <f t="shared" si="17"/>
        <v>-5880.6999999999989</v>
      </c>
      <c r="Q32" s="19"/>
      <c r="R32" s="19">
        <f t="shared" si="18"/>
        <v>14094.6</v>
      </c>
      <c r="S32" s="19">
        <v>2496.9</v>
      </c>
      <c r="T32" s="19">
        <v>2496.9</v>
      </c>
      <c r="U32" s="19"/>
      <c r="V32" s="19"/>
      <c r="W32" s="19">
        <v>2496.8999999999996</v>
      </c>
      <c r="X32" s="19">
        <v>0</v>
      </c>
      <c r="Y32" s="19">
        <v>1430.5999999999995</v>
      </c>
      <c r="Z32" s="19">
        <v>1784.3000000000011</v>
      </c>
      <c r="AA32" s="19">
        <v>1627.1999999999989</v>
      </c>
      <c r="AB32" s="19">
        <f t="shared" si="10"/>
        <v>1761.8000000000011</v>
      </c>
      <c r="AC32" s="43"/>
      <c r="AD32" s="42"/>
      <c r="AE32" s="43"/>
      <c r="AF32" s="43"/>
      <c r="AG32" s="43"/>
      <c r="AH32" s="19">
        <f t="shared" si="19"/>
        <v>1761.8000000000011</v>
      </c>
      <c r="AI32" s="1"/>
      <c r="AJ32" s="1"/>
      <c r="AK32" s="1"/>
    </row>
    <row r="33" spans="1:38" s="2" customFormat="1" ht="17.100000000000001" customHeight="1">
      <c r="A33" s="6" t="s">
        <v>30</v>
      </c>
      <c r="B33" s="4">
        <v>1</v>
      </c>
      <c r="C33" s="4">
        <v>10</v>
      </c>
      <c r="D33" s="4">
        <v>2306</v>
      </c>
      <c r="E33" s="4">
        <v>1349</v>
      </c>
      <c r="F33" s="51">
        <f t="shared" si="14"/>
        <v>0.58499566348655685</v>
      </c>
      <c r="G33" s="4">
        <v>5</v>
      </c>
      <c r="H33" s="4">
        <v>3</v>
      </c>
      <c r="I33" s="4">
        <v>3</v>
      </c>
      <c r="J33" s="51">
        <f t="shared" si="4"/>
        <v>1</v>
      </c>
      <c r="K33" s="4">
        <v>15</v>
      </c>
      <c r="L33" s="24">
        <f t="shared" si="5"/>
        <v>0.93083261058109279</v>
      </c>
      <c r="M33" s="48">
        <v>36426</v>
      </c>
      <c r="N33" s="19">
        <f t="shared" si="15"/>
        <v>26491.599999999999</v>
      </c>
      <c r="O33" s="19">
        <f t="shared" si="16"/>
        <v>24659.200000000001</v>
      </c>
      <c r="P33" s="19">
        <f t="shared" si="17"/>
        <v>-1832.3999999999978</v>
      </c>
      <c r="Q33" s="19">
        <v>2787.1</v>
      </c>
      <c r="R33" s="19">
        <f t="shared" si="18"/>
        <v>21872.100000000002</v>
      </c>
      <c r="S33" s="19">
        <v>3311.5</v>
      </c>
      <c r="T33" s="19">
        <v>3311.3999999999996</v>
      </c>
      <c r="U33" s="19"/>
      <c r="V33" s="19"/>
      <c r="W33" s="19">
        <v>3311.5</v>
      </c>
      <c r="X33" s="19">
        <v>2403.8000000000011</v>
      </c>
      <c r="Y33" s="19">
        <v>2387.7999999999993</v>
      </c>
      <c r="Z33" s="19">
        <v>2387.8000000000029</v>
      </c>
      <c r="AA33" s="19">
        <v>2372.7999999999993</v>
      </c>
      <c r="AB33" s="19">
        <f t="shared" si="10"/>
        <v>2385.5</v>
      </c>
      <c r="AC33" s="42"/>
      <c r="AD33" s="42"/>
      <c r="AE33" s="43"/>
      <c r="AF33" s="43"/>
      <c r="AG33" s="43"/>
      <c r="AH33" s="19">
        <f t="shared" si="19"/>
        <v>2385.5</v>
      </c>
      <c r="AI33" s="1"/>
      <c r="AJ33" s="1"/>
      <c r="AK33" s="1"/>
      <c r="AL33" s="1"/>
    </row>
    <row r="34" spans="1:38" s="2" customFormat="1" ht="17.100000000000001" customHeight="1">
      <c r="A34" s="6" t="s">
        <v>31</v>
      </c>
      <c r="B34" s="4">
        <v>1</v>
      </c>
      <c r="C34" s="4">
        <v>10</v>
      </c>
      <c r="D34" s="4">
        <v>3480</v>
      </c>
      <c r="E34" s="4">
        <v>2661</v>
      </c>
      <c r="F34" s="51">
        <f t="shared" si="14"/>
        <v>0.7646551724137931</v>
      </c>
      <c r="G34" s="4">
        <v>5</v>
      </c>
      <c r="H34" s="4">
        <v>3</v>
      </c>
      <c r="I34" s="4">
        <v>1</v>
      </c>
      <c r="J34" s="51">
        <f t="shared" si="4"/>
        <v>0.33333333333333331</v>
      </c>
      <c r="K34" s="4">
        <v>15</v>
      </c>
      <c r="L34" s="24">
        <f t="shared" si="5"/>
        <v>0.62744252873563211</v>
      </c>
      <c r="M34" s="48">
        <v>33052</v>
      </c>
      <c r="N34" s="19">
        <f t="shared" si="15"/>
        <v>24037.8</v>
      </c>
      <c r="O34" s="19">
        <f t="shared" si="16"/>
        <v>15082.3</v>
      </c>
      <c r="P34" s="19">
        <f t="shared" si="17"/>
        <v>-8955.5</v>
      </c>
      <c r="Q34" s="19">
        <v>1224.5</v>
      </c>
      <c r="R34" s="19">
        <f t="shared" si="18"/>
        <v>13857.8</v>
      </c>
      <c r="S34" s="19">
        <v>3004.7</v>
      </c>
      <c r="T34" s="19">
        <v>3004.8</v>
      </c>
      <c r="U34" s="19"/>
      <c r="V34" s="19"/>
      <c r="W34" s="19">
        <v>3004.7000000000007</v>
      </c>
      <c r="X34" s="19">
        <v>2972.5</v>
      </c>
      <c r="Y34" s="19">
        <v>2690.4999999999982</v>
      </c>
      <c r="Z34" s="19">
        <v>2690.6000000000004</v>
      </c>
      <c r="AA34" s="19">
        <v>0</v>
      </c>
      <c r="AB34" s="19">
        <f t="shared" si="10"/>
        <v>-3510</v>
      </c>
      <c r="AC34" s="42"/>
      <c r="AD34" s="42"/>
      <c r="AE34" s="43"/>
      <c r="AF34" s="43"/>
      <c r="AG34" s="43"/>
      <c r="AH34" s="19">
        <f t="shared" si="19"/>
        <v>0</v>
      </c>
      <c r="AI34" s="1"/>
      <c r="AJ34" s="1"/>
      <c r="AK34" s="1"/>
    </row>
    <row r="35" spans="1:38" s="2" customFormat="1" ht="17.100000000000001" customHeight="1">
      <c r="A35" s="6" t="s">
        <v>1</v>
      </c>
      <c r="B35" s="4">
        <v>1</v>
      </c>
      <c r="C35" s="4">
        <v>10</v>
      </c>
      <c r="D35" s="4">
        <v>79514</v>
      </c>
      <c r="E35" s="4">
        <v>90498</v>
      </c>
      <c r="F35" s="51">
        <f t="shared" si="14"/>
        <v>1.1381391956133511</v>
      </c>
      <c r="G35" s="4">
        <v>5</v>
      </c>
      <c r="H35" s="4">
        <v>3</v>
      </c>
      <c r="I35" s="4">
        <v>2</v>
      </c>
      <c r="J35" s="51">
        <f t="shared" si="4"/>
        <v>0.66666666666666663</v>
      </c>
      <c r="K35" s="4">
        <v>15</v>
      </c>
      <c r="L35" s="24">
        <f t="shared" si="5"/>
        <v>0.85635653260222522</v>
      </c>
      <c r="M35" s="48">
        <v>36930</v>
      </c>
      <c r="N35" s="19">
        <f t="shared" si="15"/>
        <v>26858.2</v>
      </c>
      <c r="O35" s="19">
        <f t="shared" si="16"/>
        <v>23000.2</v>
      </c>
      <c r="P35" s="19">
        <f t="shared" si="17"/>
        <v>-3858</v>
      </c>
      <c r="Q35" s="19">
        <v>1279.9000000000001</v>
      </c>
      <c r="R35" s="19">
        <f t="shared" si="18"/>
        <v>21720.3</v>
      </c>
      <c r="S35" s="19">
        <v>3357.3</v>
      </c>
      <c r="T35" s="19">
        <v>3357.2</v>
      </c>
      <c r="U35" s="19"/>
      <c r="V35" s="19"/>
      <c r="W35" s="19">
        <v>3357.2999999999993</v>
      </c>
      <c r="X35" s="19">
        <v>4323.4000000000015</v>
      </c>
      <c r="Y35" s="19">
        <v>3278.7999999999993</v>
      </c>
      <c r="Z35" s="19">
        <v>3278.7999999999993</v>
      </c>
      <c r="AA35" s="19">
        <v>0</v>
      </c>
      <c r="AB35" s="19">
        <f t="shared" si="10"/>
        <v>767.5</v>
      </c>
      <c r="AC35" s="42"/>
      <c r="AD35" s="42"/>
      <c r="AE35" s="43"/>
      <c r="AF35" s="43"/>
      <c r="AG35" s="43"/>
      <c r="AH35" s="19">
        <f t="shared" si="19"/>
        <v>767.5</v>
      </c>
      <c r="AI35" s="1"/>
      <c r="AJ35" s="1"/>
      <c r="AK35" s="1"/>
      <c r="AL35" s="1"/>
    </row>
    <row r="36" spans="1:38" s="2" customFormat="1" ht="17.100000000000001" customHeight="1">
      <c r="A36" s="6" t="s">
        <v>32</v>
      </c>
      <c r="B36" s="4">
        <v>1</v>
      </c>
      <c r="C36" s="4">
        <v>10</v>
      </c>
      <c r="D36" s="4">
        <v>3480</v>
      </c>
      <c r="E36" s="4">
        <v>1665</v>
      </c>
      <c r="F36" s="51">
        <f t="shared" si="14"/>
        <v>0.47844827586206895</v>
      </c>
      <c r="G36" s="4">
        <v>5</v>
      </c>
      <c r="H36" s="4">
        <v>3</v>
      </c>
      <c r="I36" s="4">
        <v>3</v>
      </c>
      <c r="J36" s="51">
        <f>IF(K36=0,0,IF(H36=0,1,IF(I36&lt;0,0,IF(I36/H36&gt;1.2,IF((I36/H36-1.2)*0.1+1.2&gt;1.3,1.3,(I36/H36-1.2)*0.1+1.2),I36/H36))))</f>
        <v>1</v>
      </c>
      <c r="K36" s="4">
        <v>15</v>
      </c>
      <c r="L36" s="24">
        <f t="shared" si="5"/>
        <v>0.91307471264367812</v>
      </c>
      <c r="M36" s="48">
        <v>29900</v>
      </c>
      <c r="N36" s="19">
        <f t="shared" si="15"/>
        <v>21745.5</v>
      </c>
      <c r="O36" s="19">
        <f t="shared" si="16"/>
        <v>19855.3</v>
      </c>
      <c r="P36" s="19">
        <f t="shared" si="17"/>
        <v>-1890.2000000000007</v>
      </c>
      <c r="Q36" s="19">
        <v>2157.6999999999998</v>
      </c>
      <c r="R36" s="19">
        <f t="shared" si="18"/>
        <v>17697.599999999999</v>
      </c>
      <c r="S36" s="19">
        <v>2718.2</v>
      </c>
      <c r="T36" s="19">
        <v>2718.2</v>
      </c>
      <c r="U36" s="19"/>
      <c r="V36" s="19"/>
      <c r="W36" s="19">
        <v>2718.1000000000004</v>
      </c>
      <c r="X36" s="19">
        <v>225</v>
      </c>
      <c r="Y36" s="19">
        <v>1555.5</v>
      </c>
      <c r="Z36" s="19">
        <v>1555.5</v>
      </c>
      <c r="AA36" s="19">
        <v>4264.5</v>
      </c>
      <c r="AB36" s="19">
        <f t="shared" si="10"/>
        <v>1942.5999999999985</v>
      </c>
      <c r="AC36" s="42"/>
      <c r="AD36" s="42"/>
      <c r="AE36" s="43"/>
      <c r="AF36" s="43"/>
      <c r="AG36" s="43"/>
      <c r="AH36" s="19">
        <f t="shared" si="19"/>
        <v>1942.5999999999985</v>
      </c>
      <c r="AI36" s="1"/>
      <c r="AJ36" s="1"/>
      <c r="AK36" s="1"/>
      <c r="AL36" s="1"/>
    </row>
    <row r="37" spans="1:38" s="2" customFormat="1" ht="17.100000000000001" customHeight="1">
      <c r="A37" s="6" t="s">
        <v>33</v>
      </c>
      <c r="B37" s="4">
        <v>1</v>
      </c>
      <c r="C37" s="4">
        <v>10</v>
      </c>
      <c r="D37" s="4">
        <v>1368</v>
      </c>
      <c r="E37" s="4">
        <v>655</v>
      </c>
      <c r="F37" s="51">
        <f t="shared" si="14"/>
        <v>0.47880116959064328</v>
      </c>
      <c r="G37" s="4">
        <v>5</v>
      </c>
      <c r="H37" s="4">
        <v>3</v>
      </c>
      <c r="I37" s="4">
        <v>2</v>
      </c>
      <c r="J37" s="51">
        <f t="shared" si="4"/>
        <v>0.66666666666666663</v>
      </c>
      <c r="K37" s="4">
        <v>15</v>
      </c>
      <c r="L37" s="24">
        <f t="shared" si="5"/>
        <v>0.74646686159844056</v>
      </c>
      <c r="M37" s="48">
        <v>10390</v>
      </c>
      <c r="N37" s="19">
        <f t="shared" si="15"/>
        <v>7556.4</v>
      </c>
      <c r="O37" s="19">
        <f t="shared" si="16"/>
        <v>5640.6</v>
      </c>
      <c r="P37" s="19">
        <f t="shared" si="17"/>
        <v>-1915.7999999999993</v>
      </c>
      <c r="Q37" s="19">
        <v>7302.1</v>
      </c>
      <c r="R37" s="19">
        <f t="shared" si="18"/>
        <v>-1661.5</v>
      </c>
      <c r="S37" s="19">
        <v>944.5</v>
      </c>
      <c r="T37" s="19">
        <v>944.59999999999991</v>
      </c>
      <c r="U37" s="19"/>
      <c r="V37" s="19"/>
      <c r="W37" s="19">
        <v>944.5</v>
      </c>
      <c r="X37" s="19">
        <v>392.20000000000027</v>
      </c>
      <c r="Y37" s="19">
        <v>0</v>
      </c>
      <c r="Z37" s="19">
        <v>0</v>
      </c>
      <c r="AA37" s="19">
        <v>0</v>
      </c>
      <c r="AB37" s="19">
        <f t="shared" si="10"/>
        <v>-4887.3</v>
      </c>
      <c r="AC37" s="42"/>
      <c r="AD37" s="42"/>
      <c r="AE37" s="43"/>
      <c r="AF37" s="43"/>
      <c r="AG37" s="43"/>
      <c r="AH37" s="19">
        <f t="shared" si="19"/>
        <v>0</v>
      </c>
      <c r="AI37" s="1"/>
      <c r="AJ37" s="1"/>
      <c r="AK37" s="1"/>
      <c r="AL37" s="1"/>
    </row>
    <row r="38" spans="1:38" s="2" customFormat="1" ht="17.100000000000001" customHeight="1">
      <c r="A38" s="6" t="s">
        <v>34</v>
      </c>
      <c r="B38" s="4">
        <v>1</v>
      </c>
      <c r="C38" s="4">
        <v>10</v>
      </c>
      <c r="D38" s="4">
        <v>4440</v>
      </c>
      <c r="E38" s="4">
        <v>2129</v>
      </c>
      <c r="F38" s="51">
        <f t="shared" si="14"/>
        <v>0.47950450450450449</v>
      </c>
      <c r="G38" s="4">
        <v>5</v>
      </c>
      <c r="H38" s="4">
        <v>3</v>
      </c>
      <c r="I38" s="4">
        <v>3</v>
      </c>
      <c r="J38" s="51">
        <f t="shared" si="4"/>
        <v>1</v>
      </c>
      <c r="K38" s="4">
        <v>15</v>
      </c>
      <c r="L38" s="24">
        <f t="shared" si="5"/>
        <v>0.91325075075075068</v>
      </c>
      <c r="M38" s="48">
        <v>55220</v>
      </c>
      <c r="N38" s="19">
        <f t="shared" si="15"/>
        <v>40160</v>
      </c>
      <c r="O38" s="19">
        <f t="shared" si="16"/>
        <v>36676.199999999997</v>
      </c>
      <c r="P38" s="19">
        <f t="shared" si="17"/>
        <v>-3483.8000000000029</v>
      </c>
      <c r="Q38" s="19"/>
      <c r="R38" s="19">
        <f t="shared" si="18"/>
        <v>36676.199999999997</v>
      </c>
      <c r="S38" s="19">
        <v>5020</v>
      </c>
      <c r="T38" s="19">
        <v>5020</v>
      </c>
      <c r="U38" s="19"/>
      <c r="V38" s="19"/>
      <c r="W38" s="19">
        <v>5020</v>
      </c>
      <c r="X38" s="19">
        <v>1616</v>
      </c>
      <c r="Y38" s="19">
        <v>4169.0999999999985</v>
      </c>
      <c r="Z38" s="19">
        <v>4169</v>
      </c>
      <c r="AA38" s="19">
        <v>7077.5</v>
      </c>
      <c r="AB38" s="19">
        <f t="shared" si="10"/>
        <v>4584.5999999999985</v>
      </c>
      <c r="AC38" s="43"/>
      <c r="AD38" s="42"/>
      <c r="AE38" s="43"/>
      <c r="AF38" s="43"/>
      <c r="AG38" s="43"/>
      <c r="AH38" s="19">
        <f t="shared" si="19"/>
        <v>4584.5999999999985</v>
      </c>
      <c r="AI38" s="1"/>
      <c r="AJ38" s="1"/>
      <c r="AK38" s="1"/>
      <c r="AL38" s="1"/>
    </row>
    <row r="39" spans="1:38" s="2" customFormat="1" ht="17.100000000000001" customHeight="1">
      <c r="A39" s="6" t="s">
        <v>35</v>
      </c>
      <c r="B39" s="4">
        <v>1</v>
      </c>
      <c r="C39" s="4">
        <v>10</v>
      </c>
      <c r="D39" s="4">
        <v>2272</v>
      </c>
      <c r="E39" s="4">
        <v>2967</v>
      </c>
      <c r="F39" s="51">
        <f t="shared" si="14"/>
        <v>1.2105897887323944</v>
      </c>
      <c r="G39" s="4">
        <v>5</v>
      </c>
      <c r="H39" s="4">
        <v>3</v>
      </c>
      <c r="I39" s="4">
        <v>2</v>
      </c>
      <c r="J39" s="51">
        <f t="shared" si="4"/>
        <v>0.66666666666666663</v>
      </c>
      <c r="K39" s="4">
        <v>15</v>
      </c>
      <c r="L39" s="24">
        <f t="shared" si="5"/>
        <v>0.86843163145539914</v>
      </c>
      <c r="M39" s="48">
        <v>36148</v>
      </c>
      <c r="N39" s="19">
        <f t="shared" si="15"/>
        <v>26289.5</v>
      </c>
      <c r="O39" s="19">
        <f t="shared" si="16"/>
        <v>22830.6</v>
      </c>
      <c r="P39" s="19">
        <f t="shared" si="17"/>
        <v>-3458.9000000000015</v>
      </c>
      <c r="Q39" s="19"/>
      <c r="R39" s="19">
        <f t="shared" si="18"/>
        <v>22830.6</v>
      </c>
      <c r="S39" s="19">
        <v>3286.2</v>
      </c>
      <c r="T39" s="19">
        <v>3286.2</v>
      </c>
      <c r="U39" s="19"/>
      <c r="V39" s="19"/>
      <c r="W39" s="19">
        <v>3286.1000000000004</v>
      </c>
      <c r="X39" s="19">
        <v>4217.2000000000007</v>
      </c>
      <c r="Y39" s="19">
        <v>3519</v>
      </c>
      <c r="Z39" s="19">
        <v>3518.8999999999978</v>
      </c>
      <c r="AA39" s="19">
        <v>0</v>
      </c>
      <c r="AB39" s="19">
        <f t="shared" si="10"/>
        <v>1717</v>
      </c>
      <c r="AC39" s="43"/>
      <c r="AD39" s="42"/>
      <c r="AE39" s="43"/>
      <c r="AF39" s="43"/>
      <c r="AG39" s="43"/>
      <c r="AH39" s="19">
        <f t="shared" si="19"/>
        <v>1717</v>
      </c>
      <c r="AI39" s="1"/>
      <c r="AJ39" s="1"/>
      <c r="AK39" s="1"/>
      <c r="AL39" s="1"/>
    </row>
    <row r="40" spans="1:38" s="2" customFormat="1" ht="17.100000000000001" customHeight="1">
      <c r="A40" s="6" t="s">
        <v>36</v>
      </c>
      <c r="B40" s="4">
        <v>1</v>
      </c>
      <c r="C40" s="4">
        <v>10</v>
      </c>
      <c r="D40" s="4">
        <v>8180</v>
      </c>
      <c r="E40" s="4">
        <v>7957</v>
      </c>
      <c r="F40" s="51">
        <f t="shared" si="14"/>
        <v>0.97273838630806841</v>
      </c>
      <c r="G40" s="4">
        <v>5</v>
      </c>
      <c r="H40" s="4">
        <v>3</v>
      </c>
      <c r="I40" s="4">
        <v>2</v>
      </c>
      <c r="J40" s="51">
        <f t="shared" si="4"/>
        <v>0.66666666666666663</v>
      </c>
      <c r="K40" s="4">
        <v>15</v>
      </c>
      <c r="L40" s="24">
        <f t="shared" si="5"/>
        <v>0.82878973105134468</v>
      </c>
      <c r="M40" s="48">
        <v>50028</v>
      </c>
      <c r="N40" s="19">
        <f t="shared" si="15"/>
        <v>36384</v>
      </c>
      <c r="O40" s="19">
        <f t="shared" si="16"/>
        <v>30154.7</v>
      </c>
      <c r="P40" s="19">
        <f t="shared" si="17"/>
        <v>-6229.2999999999993</v>
      </c>
      <c r="Q40" s="19">
        <v>3939.4</v>
      </c>
      <c r="R40" s="19">
        <f t="shared" si="18"/>
        <v>26215.3</v>
      </c>
      <c r="S40" s="19">
        <v>4548</v>
      </c>
      <c r="T40" s="19">
        <v>4548</v>
      </c>
      <c r="U40" s="19">
        <v>10000</v>
      </c>
      <c r="V40" s="19"/>
      <c r="W40" s="19">
        <v>0</v>
      </c>
      <c r="X40" s="19">
        <v>0</v>
      </c>
      <c r="Y40" s="19">
        <v>2131</v>
      </c>
      <c r="Z40" s="19">
        <v>3457.6000000000022</v>
      </c>
      <c r="AA40" s="19">
        <v>0</v>
      </c>
      <c r="AB40" s="19">
        <f t="shared" si="10"/>
        <v>1530.6999999999971</v>
      </c>
      <c r="AC40" s="42"/>
      <c r="AD40" s="42"/>
      <c r="AE40" s="43"/>
      <c r="AF40" s="43"/>
      <c r="AG40" s="43"/>
      <c r="AH40" s="19">
        <f t="shared" si="19"/>
        <v>1530.6999999999971</v>
      </c>
      <c r="AI40" s="1"/>
      <c r="AJ40" s="1"/>
      <c r="AK40" s="1"/>
      <c r="AL40" s="1"/>
    </row>
    <row r="41" spans="1:38" s="2" customFormat="1" ht="17.100000000000001" customHeight="1">
      <c r="A41" s="6" t="s">
        <v>37</v>
      </c>
      <c r="B41" s="4">
        <v>1</v>
      </c>
      <c r="C41" s="4">
        <v>10</v>
      </c>
      <c r="D41" s="4">
        <v>120260</v>
      </c>
      <c r="E41" s="4">
        <v>135402</v>
      </c>
      <c r="F41" s="51">
        <f t="shared" si="14"/>
        <v>1.1259105271910861</v>
      </c>
      <c r="G41" s="4">
        <v>5</v>
      </c>
      <c r="H41" s="4">
        <v>3</v>
      </c>
      <c r="I41" s="4">
        <v>2</v>
      </c>
      <c r="J41" s="51">
        <f t="shared" si="4"/>
        <v>0.66666666666666663</v>
      </c>
      <c r="K41" s="4">
        <v>15</v>
      </c>
      <c r="L41" s="24">
        <f t="shared" si="5"/>
        <v>0.85431842119851431</v>
      </c>
      <c r="M41" s="48">
        <v>71174</v>
      </c>
      <c r="N41" s="19">
        <f t="shared" si="15"/>
        <v>51762.9</v>
      </c>
      <c r="O41" s="19">
        <f t="shared" si="16"/>
        <v>44222</v>
      </c>
      <c r="P41" s="19">
        <f t="shared" si="17"/>
        <v>-7540.9000000000015</v>
      </c>
      <c r="Q41" s="19"/>
      <c r="R41" s="19">
        <f t="shared" si="18"/>
        <v>44222</v>
      </c>
      <c r="S41" s="19">
        <v>6470.4</v>
      </c>
      <c r="T41" s="19">
        <v>6470.3000000000011</v>
      </c>
      <c r="U41" s="19"/>
      <c r="V41" s="19"/>
      <c r="W41" s="19">
        <v>6470.3999999999978</v>
      </c>
      <c r="X41" s="19">
        <v>8388.1000000000022</v>
      </c>
      <c r="Y41" s="19">
        <v>6949.7000000000007</v>
      </c>
      <c r="Z41" s="19">
        <v>6949.7999999999956</v>
      </c>
      <c r="AA41" s="19">
        <v>0</v>
      </c>
      <c r="AB41" s="19">
        <f t="shared" si="10"/>
        <v>2523.3000000000029</v>
      </c>
      <c r="AC41" s="42"/>
      <c r="AD41" s="42"/>
      <c r="AE41" s="43"/>
      <c r="AF41" s="43"/>
      <c r="AG41" s="43"/>
      <c r="AH41" s="19">
        <f t="shared" si="19"/>
        <v>2523.3000000000029</v>
      </c>
      <c r="AI41" s="1"/>
      <c r="AJ41" s="1"/>
      <c r="AK41" s="1"/>
      <c r="AL41" s="1"/>
    </row>
    <row r="42" spans="1:38" s="2" customFormat="1" ht="17.100000000000001" customHeight="1">
      <c r="A42" s="6" t="s">
        <v>38</v>
      </c>
      <c r="B42" s="4">
        <v>1</v>
      </c>
      <c r="C42" s="4">
        <v>10</v>
      </c>
      <c r="D42" s="4">
        <v>9750</v>
      </c>
      <c r="E42" s="4">
        <v>8535</v>
      </c>
      <c r="F42" s="51">
        <f t="shared" si="14"/>
        <v>0.87538461538461543</v>
      </c>
      <c r="G42" s="4">
        <v>5</v>
      </c>
      <c r="H42" s="4">
        <v>3</v>
      </c>
      <c r="I42" s="4">
        <v>3</v>
      </c>
      <c r="J42" s="51">
        <f t="shared" si="4"/>
        <v>1</v>
      </c>
      <c r="K42" s="4">
        <v>15</v>
      </c>
      <c r="L42" s="24">
        <f t="shared" si="5"/>
        <v>0.97923076923076924</v>
      </c>
      <c r="M42" s="48">
        <v>28927</v>
      </c>
      <c r="N42" s="19">
        <f t="shared" si="15"/>
        <v>21037.8</v>
      </c>
      <c r="O42" s="19">
        <f t="shared" si="16"/>
        <v>20600.900000000001</v>
      </c>
      <c r="P42" s="19">
        <f t="shared" si="17"/>
        <v>-436.89999999999782</v>
      </c>
      <c r="Q42" s="19">
        <v>1777.1</v>
      </c>
      <c r="R42" s="19">
        <f t="shared" si="18"/>
        <v>18823.800000000003</v>
      </c>
      <c r="S42" s="19">
        <v>2629.7</v>
      </c>
      <c r="T42" s="19">
        <v>2629.8</v>
      </c>
      <c r="U42" s="19"/>
      <c r="V42" s="19"/>
      <c r="W42" s="19">
        <v>2629.7</v>
      </c>
      <c r="X42" s="19">
        <v>3015.2</v>
      </c>
      <c r="Y42" s="19">
        <v>2281.8000000000011</v>
      </c>
      <c r="Z42" s="19">
        <v>2281.8999999999996</v>
      </c>
      <c r="AA42" s="19">
        <v>1224.8999999999996</v>
      </c>
      <c r="AB42" s="19">
        <f t="shared" si="10"/>
        <v>2130.8000000000029</v>
      </c>
      <c r="AC42" s="42"/>
      <c r="AD42" s="42"/>
      <c r="AE42" s="43"/>
      <c r="AF42" s="43"/>
      <c r="AG42" s="43"/>
      <c r="AH42" s="19">
        <f t="shared" si="19"/>
        <v>2130.8000000000029</v>
      </c>
      <c r="AI42" s="1"/>
      <c r="AJ42" s="1"/>
      <c r="AK42" s="1"/>
      <c r="AL42" s="1"/>
    </row>
    <row r="43" spans="1:38" s="2" customFormat="1" ht="17.100000000000001" customHeight="1">
      <c r="A43" s="6" t="s">
        <v>2</v>
      </c>
      <c r="B43" s="4">
        <v>1</v>
      </c>
      <c r="C43" s="4">
        <v>10</v>
      </c>
      <c r="D43" s="4">
        <v>1800</v>
      </c>
      <c r="E43" s="4">
        <v>620</v>
      </c>
      <c r="F43" s="51">
        <f t="shared" si="14"/>
        <v>0.34444444444444444</v>
      </c>
      <c r="G43" s="4">
        <v>5</v>
      </c>
      <c r="H43" s="4">
        <v>3</v>
      </c>
      <c r="I43" s="4">
        <v>2</v>
      </c>
      <c r="J43" s="51">
        <f t="shared" si="4"/>
        <v>0.66666666666666663</v>
      </c>
      <c r="K43" s="4">
        <v>15</v>
      </c>
      <c r="L43" s="24">
        <f t="shared" si="5"/>
        <v>0.72407407407407409</v>
      </c>
      <c r="M43" s="48">
        <v>36725</v>
      </c>
      <c r="N43" s="19">
        <f t="shared" si="15"/>
        <v>26709.1</v>
      </c>
      <c r="O43" s="19">
        <f t="shared" si="16"/>
        <v>19339.400000000001</v>
      </c>
      <c r="P43" s="19">
        <f t="shared" si="17"/>
        <v>-7369.6999999999971</v>
      </c>
      <c r="Q43" s="19"/>
      <c r="R43" s="19">
        <f t="shared" si="18"/>
        <v>19339.400000000001</v>
      </c>
      <c r="S43" s="19">
        <v>3338.6</v>
      </c>
      <c r="T43" s="19">
        <v>3338.7000000000003</v>
      </c>
      <c r="U43" s="19"/>
      <c r="V43" s="19"/>
      <c r="W43" s="19">
        <v>3338.5999999999995</v>
      </c>
      <c r="X43" s="19">
        <v>192.89999999999964</v>
      </c>
      <c r="Y43" s="19">
        <v>2552.2000000000007</v>
      </c>
      <c r="Z43" s="19">
        <v>2552.2000000000007</v>
      </c>
      <c r="AA43" s="19">
        <v>1608.7999999999993</v>
      </c>
      <c r="AB43" s="19">
        <f t="shared" si="10"/>
        <v>2417.4000000000015</v>
      </c>
      <c r="AC43" s="43"/>
      <c r="AD43" s="42"/>
      <c r="AE43" s="43"/>
      <c r="AF43" s="43"/>
      <c r="AG43" s="43"/>
      <c r="AH43" s="19">
        <f t="shared" si="19"/>
        <v>2417.4000000000015</v>
      </c>
      <c r="AI43" s="1"/>
      <c r="AJ43" s="1"/>
      <c r="AK43" s="1"/>
      <c r="AL43" s="1"/>
    </row>
    <row r="44" spans="1:38" s="2" customFormat="1" ht="17.100000000000001" customHeight="1">
      <c r="A44" s="6" t="s">
        <v>39</v>
      </c>
      <c r="B44" s="4">
        <v>1</v>
      </c>
      <c r="C44" s="4">
        <v>10</v>
      </c>
      <c r="D44" s="4">
        <v>1546</v>
      </c>
      <c r="E44" s="4">
        <v>396</v>
      </c>
      <c r="F44" s="51">
        <f t="shared" si="14"/>
        <v>0.25614489003880986</v>
      </c>
      <c r="G44" s="4">
        <v>5</v>
      </c>
      <c r="H44" s="4">
        <v>3</v>
      </c>
      <c r="I44" s="4">
        <v>2</v>
      </c>
      <c r="J44" s="51">
        <f t="shared" si="4"/>
        <v>0.66666666666666663</v>
      </c>
      <c r="K44" s="4">
        <v>15</v>
      </c>
      <c r="L44" s="24">
        <f t="shared" si="5"/>
        <v>0.70935748167313506</v>
      </c>
      <c r="M44" s="48">
        <v>27318</v>
      </c>
      <c r="N44" s="19">
        <f t="shared" si="15"/>
        <v>19867.599999999999</v>
      </c>
      <c r="O44" s="19">
        <f t="shared" si="16"/>
        <v>14093.2</v>
      </c>
      <c r="P44" s="19">
        <f t="shared" si="17"/>
        <v>-5774.3999999999978</v>
      </c>
      <c r="Q44" s="19">
        <v>2944.9</v>
      </c>
      <c r="R44" s="19">
        <f t="shared" si="18"/>
        <v>11148.300000000001</v>
      </c>
      <c r="S44" s="19">
        <v>2483.5</v>
      </c>
      <c r="T44" s="19">
        <v>2483.3999999999996</v>
      </c>
      <c r="U44" s="19"/>
      <c r="V44" s="19"/>
      <c r="W44" s="19">
        <v>2483.5</v>
      </c>
      <c r="X44" s="19">
        <v>611.4</v>
      </c>
      <c r="Y44" s="19">
        <v>1279.2999999999984</v>
      </c>
      <c r="Z44" s="19">
        <v>1279.3000000000011</v>
      </c>
      <c r="AA44" s="19">
        <v>0</v>
      </c>
      <c r="AB44" s="19">
        <f t="shared" si="10"/>
        <v>527.90000000000146</v>
      </c>
      <c r="AC44" s="43"/>
      <c r="AD44" s="42"/>
      <c r="AE44" s="43"/>
      <c r="AF44" s="43"/>
      <c r="AG44" s="43"/>
      <c r="AH44" s="19">
        <f t="shared" si="19"/>
        <v>527.90000000000146</v>
      </c>
      <c r="AI44" s="1"/>
      <c r="AJ44" s="1"/>
      <c r="AK44" s="1"/>
      <c r="AL44" s="1"/>
    </row>
    <row r="45" spans="1:38" s="2" customFormat="1" ht="17.100000000000001" customHeight="1">
      <c r="A45" s="6" t="s">
        <v>3</v>
      </c>
      <c r="B45" s="4">
        <v>1</v>
      </c>
      <c r="C45" s="4">
        <v>10</v>
      </c>
      <c r="D45" s="4">
        <v>1664</v>
      </c>
      <c r="E45" s="4">
        <v>261</v>
      </c>
      <c r="F45" s="51">
        <f t="shared" si="14"/>
        <v>0.15685096153846154</v>
      </c>
      <c r="G45" s="4">
        <v>5</v>
      </c>
      <c r="H45" s="4">
        <v>3</v>
      </c>
      <c r="I45" s="4">
        <v>2</v>
      </c>
      <c r="J45" s="51">
        <f t="shared" si="4"/>
        <v>0.66666666666666663</v>
      </c>
      <c r="K45" s="4">
        <v>15</v>
      </c>
      <c r="L45" s="24">
        <f t="shared" si="5"/>
        <v>0.6928084935897435</v>
      </c>
      <c r="M45" s="48">
        <v>25737</v>
      </c>
      <c r="N45" s="19">
        <f t="shared" si="15"/>
        <v>18717.8</v>
      </c>
      <c r="O45" s="19">
        <f t="shared" si="16"/>
        <v>12967.9</v>
      </c>
      <c r="P45" s="19">
        <f t="shared" si="17"/>
        <v>-5749.9</v>
      </c>
      <c r="Q45" s="19"/>
      <c r="R45" s="19">
        <f t="shared" si="18"/>
        <v>12967.9</v>
      </c>
      <c r="S45" s="19">
        <v>2339.6999999999998</v>
      </c>
      <c r="T45" s="19">
        <v>2339.8000000000002</v>
      </c>
      <c r="U45" s="19"/>
      <c r="V45" s="19"/>
      <c r="W45" s="19">
        <v>2339.6999999999998</v>
      </c>
      <c r="X45" s="19">
        <v>63.7</v>
      </c>
      <c r="Y45" s="19">
        <v>1770.7000000000007</v>
      </c>
      <c r="Z45" s="19">
        <v>1770.7999999999993</v>
      </c>
      <c r="AA45" s="19">
        <v>722.5</v>
      </c>
      <c r="AB45" s="19">
        <f t="shared" si="10"/>
        <v>1621</v>
      </c>
      <c r="AC45" s="42"/>
      <c r="AD45" s="42"/>
      <c r="AE45" s="43"/>
      <c r="AF45" s="43"/>
      <c r="AG45" s="43"/>
      <c r="AH45" s="19">
        <f t="shared" si="19"/>
        <v>1621</v>
      </c>
      <c r="AI45" s="1"/>
      <c r="AJ45" s="1"/>
      <c r="AK45" s="1"/>
      <c r="AL45" s="1"/>
    </row>
    <row r="46" spans="1:38" s="2" customFormat="1" ht="17.100000000000001" customHeight="1">
      <c r="A46" s="6" t="s">
        <v>40</v>
      </c>
      <c r="B46" s="4">
        <v>1</v>
      </c>
      <c r="C46" s="4">
        <v>10</v>
      </c>
      <c r="D46" s="4">
        <v>3700</v>
      </c>
      <c r="E46" s="4">
        <v>4981</v>
      </c>
      <c r="F46" s="51">
        <f t="shared" si="14"/>
        <v>1.2146216216216215</v>
      </c>
      <c r="G46" s="4">
        <v>5</v>
      </c>
      <c r="H46" s="4">
        <v>3</v>
      </c>
      <c r="I46" s="4">
        <v>2</v>
      </c>
      <c r="J46" s="51">
        <f t="shared" si="4"/>
        <v>0.66666666666666663</v>
      </c>
      <c r="K46" s="4">
        <v>15</v>
      </c>
      <c r="L46" s="24">
        <f>(B46*C46+F46*G46+J46*K46)/(C46+G46+K46)</f>
        <v>0.86910360360360361</v>
      </c>
      <c r="M46" s="48">
        <v>39549</v>
      </c>
      <c r="N46" s="19">
        <f t="shared" si="15"/>
        <v>28762.9</v>
      </c>
      <c r="O46" s="19">
        <f>ROUND(L46*N46,1)</f>
        <v>24997.9</v>
      </c>
      <c r="P46" s="19">
        <f>O46-N46</f>
        <v>-3765</v>
      </c>
      <c r="Q46" s="19">
        <v>13658.3</v>
      </c>
      <c r="R46" s="19">
        <f>O46-Q46</f>
        <v>11339.600000000002</v>
      </c>
      <c r="S46" s="19">
        <v>3595.4</v>
      </c>
      <c r="T46" s="19">
        <v>3595.2999999999997</v>
      </c>
      <c r="U46" s="19"/>
      <c r="V46" s="19"/>
      <c r="W46" s="19">
        <v>3595.4000000000005</v>
      </c>
      <c r="X46" s="19">
        <v>4673.8999999999996</v>
      </c>
      <c r="Y46" s="19">
        <v>450.3</v>
      </c>
      <c r="Z46" s="19">
        <v>450.40000000000146</v>
      </c>
      <c r="AA46" s="19">
        <v>0</v>
      </c>
      <c r="AB46" s="19">
        <f t="shared" si="10"/>
        <v>-5021.0999999999985</v>
      </c>
      <c r="AC46" s="42"/>
      <c r="AD46" s="42"/>
      <c r="AE46" s="43"/>
      <c r="AF46" s="43"/>
      <c r="AG46" s="43"/>
      <c r="AH46" s="19">
        <f t="shared" si="19"/>
        <v>0</v>
      </c>
      <c r="AI46" s="1"/>
      <c r="AJ46" s="1"/>
      <c r="AK46" s="1"/>
      <c r="AL46" s="1"/>
    </row>
    <row r="47" spans="1:38" s="22" customFormat="1" ht="17.100000000000001" customHeight="1">
      <c r="A47" s="21" t="s">
        <v>45</v>
      </c>
      <c r="B47" s="21"/>
      <c r="C47" s="21"/>
      <c r="D47" s="37">
        <f>D8+D19</f>
        <v>846014</v>
      </c>
      <c r="E47" s="37">
        <f>E8+E19</f>
        <v>799423</v>
      </c>
      <c r="F47" s="52">
        <f>IF(E47/D47&gt;1.2,IF((E47/D47-1.2)*0.1+1.2&gt;1.3,1.3,(E47/D47-1.2)*0.1+1.2),E47/D47)</f>
        <v>0.94492880732470153</v>
      </c>
      <c r="G47" s="21"/>
      <c r="H47" s="37"/>
      <c r="I47" s="37"/>
      <c r="J47" s="52"/>
      <c r="K47" s="21"/>
      <c r="L47" s="47">
        <f>O47/N47</f>
        <v>0.83149519469425137</v>
      </c>
      <c r="M47" s="46">
        <f t="shared" ref="M47:S47" si="20">M8+M19</f>
        <v>1518470</v>
      </c>
      <c r="N47" s="23">
        <f t="shared" si="20"/>
        <v>1104341.8</v>
      </c>
      <c r="O47" s="23">
        <f t="shared" si="20"/>
        <v>918254.9</v>
      </c>
      <c r="P47" s="23">
        <f>P8+P19</f>
        <v>-186086.89999999997</v>
      </c>
      <c r="Q47" s="23">
        <f>Q8+Q19</f>
        <v>91014</v>
      </c>
      <c r="R47" s="23">
        <f t="shared" si="20"/>
        <v>827240.89999999991</v>
      </c>
      <c r="S47" s="23">
        <f t="shared" si="20"/>
        <v>136363.79999999999</v>
      </c>
      <c r="T47" s="23">
        <f t="shared" ref="T47:Y47" si="21">T8+T19</f>
        <v>136363.70000000001</v>
      </c>
      <c r="U47" s="23">
        <f t="shared" si="21"/>
        <v>10000</v>
      </c>
      <c r="V47" s="23">
        <f t="shared" si="21"/>
        <v>15336</v>
      </c>
      <c r="W47" s="23">
        <f t="shared" si="21"/>
        <v>124844.5</v>
      </c>
      <c r="X47" s="23">
        <f t="shared" si="21"/>
        <v>114288.1</v>
      </c>
      <c r="Y47" s="23">
        <f t="shared" si="21"/>
        <v>96103.700000000012</v>
      </c>
      <c r="Z47" s="23">
        <f>Z8+Z19</f>
        <v>114658.5</v>
      </c>
      <c r="AA47" s="23">
        <f>AA8+AA19</f>
        <v>49900.69999999999</v>
      </c>
      <c r="AB47" s="23">
        <f>AB8+AB19</f>
        <v>29381.90000000002</v>
      </c>
      <c r="AC47" s="37">
        <f>COUNTIF(AC9:AC46,"-")</f>
        <v>0</v>
      </c>
      <c r="AD47" s="37">
        <f>COUNTIF(AD9:AD46,"-")</f>
        <v>0</v>
      </c>
      <c r="AE47" s="37">
        <f>COUNTIF(AE9:AE46,"-")</f>
        <v>2</v>
      </c>
      <c r="AF47" s="37">
        <f>COUNTIF(AF9:AF46,"-")</f>
        <v>1</v>
      </c>
      <c r="AG47" s="37">
        <f>COUNTIF(AG9:AG46,"-")</f>
        <v>1</v>
      </c>
      <c r="AH47" s="23">
        <f>AH8+AH19</f>
        <v>61338.60000000002</v>
      </c>
      <c r="AI47" s="1"/>
      <c r="AJ47" s="1"/>
      <c r="AK47" s="1"/>
      <c r="AL47" s="1"/>
    </row>
    <row r="48" spans="1:38" ht="21" customHeight="1"/>
    <row r="49" spans="1:34" ht="17.25" customHeight="1">
      <c r="A49" s="40" t="s">
        <v>49</v>
      </c>
      <c r="B49" s="39"/>
      <c r="C49" s="67" t="s">
        <v>50</v>
      </c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44"/>
      <c r="AF49" s="44"/>
      <c r="AG49" s="44"/>
      <c r="AH49" s="44"/>
    </row>
    <row r="50" spans="1:34" ht="17.25" customHeight="1">
      <c r="B50" s="41" t="s">
        <v>61</v>
      </c>
      <c r="C50" s="67" t="s">
        <v>52</v>
      </c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44"/>
      <c r="AF50" s="44"/>
      <c r="AG50" s="44"/>
      <c r="AH50" s="44"/>
    </row>
    <row r="52" spans="1:34" ht="15" customHeight="1"/>
  </sheetData>
  <mergeCells count="33">
    <mergeCell ref="AA5:AA6"/>
    <mergeCell ref="S3:AA4"/>
    <mergeCell ref="R3:R6"/>
    <mergeCell ref="H3:K5"/>
    <mergeCell ref="AH3:AH6"/>
    <mergeCell ref="A3:A6"/>
    <mergeCell ref="M3:M6"/>
    <mergeCell ref="P3:P6"/>
    <mergeCell ref="O3:O6"/>
    <mergeCell ref="L3:L6"/>
    <mergeCell ref="N3:N6"/>
    <mergeCell ref="AC4:AD4"/>
    <mergeCell ref="AE4:AE6"/>
    <mergeCell ref="B3:C5"/>
    <mergeCell ref="AC3:AG3"/>
    <mergeCell ref="AF4:AF6"/>
    <mergeCell ref="AG4:AG6"/>
    <mergeCell ref="Y5:Y6"/>
    <mergeCell ref="B1:P1"/>
    <mergeCell ref="Z5:Z6"/>
    <mergeCell ref="C49:AD49"/>
    <mergeCell ref="C50:AD50"/>
    <mergeCell ref="AC5:AC6"/>
    <mergeCell ref="AD5:AD6"/>
    <mergeCell ref="AB3:AB6"/>
    <mergeCell ref="S5:S6"/>
    <mergeCell ref="T5:T6"/>
    <mergeCell ref="U5:U6"/>
    <mergeCell ref="V5:V6"/>
    <mergeCell ref="W5:W6"/>
    <mergeCell ref="D3:G5"/>
    <mergeCell ref="X5:X6"/>
    <mergeCell ref="Q3:Q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Width="2" pageOrder="overThenDown" orientation="landscape" r:id="rId1"/>
  <headerFooter differentFirst="1" alignWithMargins="0">
    <oddFooter>&amp;R&amp;P</oddFooter>
  </headerFooter>
  <colBreaks count="1" manualBreakCount="1">
    <brk id="18" max="4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6.140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74" t="s">
        <v>89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2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8" t="s">
        <v>46</v>
      </c>
    </row>
    <row r="3" spans="1:12" ht="99.75" customHeight="1">
      <c r="A3" s="75" t="s">
        <v>15</v>
      </c>
      <c r="B3" s="76" t="s">
        <v>41</v>
      </c>
      <c r="C3" s="78" t="s">
        <v>57</v>
      </c>
      <c r="D3" s="78"/>
      <c r="E3" s="78"/>
      <c r="F3" s="79" t="s">
        <v>73</v>
      </c>
      <c r="G3" s="79"/>
      <c r="H3" s="79"/>
      <c r="I3" s="79" t="s">
        <v>82</v>
      </c>
      <c r="J3" s="79"/>
      <c r="K3" s="79"/>
      <c r="L3" s="77" t="s">
        <v>44</v>
      </c>
    </row>
    <row r="4" spans="1:12" ht="32.1" customHeight="1">
      <c r="A4" s="75"/>
      <c r="B4" s="76"/>
      <c r="C4" s="12" t="s">
        <v>42</v>
      </c>
      <c r="D4" s="12" t="s">
        <v>43</v>
      </c>
      <c r="E4" s="57" t="s">
        <v>83</v>
      </c>
      <c r="F4" s="12" t="s">
        <v>42</v>
      </c>
      <c r="G4" s="12" t="s">
        <v>43</v>
      </c>
      <c r="H4" s="58" t="s">
        <v>84</v>
      </c>
      <c r="I4" s="12" t="s">
        <v>42</v>
      </c>
      <c r="J4" s="12" t="s">
        <v>43</v>
      </c>
      <c r="K4" s="58" t="s">
        <v>85</v>
      </c>
      <c r="L4" s="77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-60215.399999999987</v>
      </c>
      <c r="C6" s="28"/>
      <c r="D6" s="28"/>
      <c r="E6" s="28">
        <f>SUM(E7:E16)</f>
        <v>0</v>
      </c>
      <c r="F6" s="28"/>
      <c r="G6" s="28"/>
      <c r="H6" s="28">
        <f>SUM(H7:H16)</f>
        <v>-19210.210731160634</v>
      </c>
      <c r="I6" s="28"/>
      <c r="J6" s="28"/>
      <c r="K6" s="28">
        <f>SUM(K7:K16)</f>
        <v>-41005.189268839349</v>
      </c>
      <c r="L6" s="28"/>
    </row>
    <row r="7" spans="1:12" ht="15" customHeight="1">
      <c r="A7" s="15" t="s">
        <v>5</v>
      </c>
      <c r="B7" s="29">
        <f>'Расчет дотаций'!P9</f>
        <v>0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4.7472051371320267E-2</v>
      </c>
      <c r="G7" s="33">
        <f>F7*'Расчет дотаций'!G9</f>
        <v>0.71208077056980401</v>
      </c>
      <c r="H7" s="32">
        <f>$B7*G7/$L7</f>
        <v>0</v>
      </c>
      <c r="I7" s="33">
        <f>'Расчет дотаций'!J9-1</f>
        <v>-0.66666666666666674</v>
      </c>
      <c r="J7" s="33">
        <f>I7*'Расчет дотаций'!K9</f>
        <v>-13.333333333333336</v>
      </c>
      <c r="K7" s="32">
        <f>$B7*J7/$L7</f>
        <v>0</v>
      </c>
      <c r="L7" s="31">
        <f>D7+G7+J7</f>
        <v>-12.621252562763532</v>
      </c>
    </row>
    <row r="8" spans="1:12" ht="15" customHeight="1">
      <c r="A8" s="15" t="s">
        <v>6</v>
      </c>
      <c r="B8" s="29">
        <f>'Расчет дотаций'!P10</f>
        <v>-1790.6999999999971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-8.1375838926174504E-2</v>
      </c>
      <c r="G8" s="33">
        <f>F8*'Расчет дотаций'!G10</f>
        <v>-1.2206375838926176</v>
      </c>
      <c r="H8" s="32">
        <f t="shared" ref="H8:H44" si="1">$B8*G8/$L8</f>
        <v>-1790.6999999999969</v>
      </c>
      <c r="I8" s="33">
        <f>'Расчет дотаций'!J10-1</f>
        <v>0</v>
      </c>
      <c r="J8" s="33">
        <f>I8*'Расчет дотаций'!K10</f>
        <v>0</v>
      </c>
      <c r="K8" s="32">
        <f t="shared" ref="K8:K16" si="2">$B8*J8/$L8</f>
        <v>0</v>
      </c>
      <c r="L8" s="31">
        <f t="shared" ref="L8:L44" si="3">D8+G8+J8</f>
        <v>-1.2206375838926176</v>
      </c>
    </row>
    <row r="9" spans="1:12" ht="15" customHeight="1">
      <c r="A9" s="15" t="s">
        <v>7</v>
      </c>
      <c r="B9" s="29">
        <f>'Расчет дотаций'!P11</f>
        <v>-380.69999999999709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-1.791285096105466E-2</v>
      </c>
      <c r="G9" s="33">
        <f>F9*'Расчет дотаций'!G11</f>
        <v>-0.26869276441581991</v>
      </c>
      <c r="H9" s="32">
        <f t="shared" si="1"/>
        <v>-380.69999999999709</v>
      </c>
      <c r="I9" s="33">
        <f>'Расчет дотаций'!J11-1</f>
        <v>0</v>
      </c>
      <c r="J9" s="33">
        <f>I9*'Расчет дотаций'!K11</f>
        <v>0</v>
      </c>
      <c r="K9" s="32">
        <f t="shared" si="2"/>
        <v>0</v>
      </c>
      <c r="L9" s="31">
        <f t="shared" si="3"/>
        <v>-0.26869276441581991</v>
      </c>
    </row>
    <row r="10" spans="1:12" ht="15" customHeight="1">
      <c r="A10" s="15" t="s">
        <v>8</v>
      </c>
      <c r="B10" s="29">
        <f>'Расчет дотаций'!P12</f>
        <v>-7034.0999999999985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-0.37806629173148254</v>
      </c>
      <c r="G10" s="33">
        <f>F10*'Расчет дотаций'!G12</f>
        <v>-5.6709943759722385</v>
      </c>
      <c r="H10" s="32">
        <f t="shared" si="1"/>
        <v>-7034.0999999999995</v>
      </c>
      <c r="I10" s="33">
        <f>'Расчет дотаций'!J12-1</f>
        <v>0</v>
      </c>
      <c r="J10" s="33">
        <f>I10*'Расчет дотаций'!K12</f>
        <v>0</v>
      </c>
      <c r="K10" s="32">
        <f t="shared" si="2"/>
        <v>0</v>
      </c>
      <c r="L10" s="31">
        <f t="shared" si="3"/>
        <v>-5.6709943759722385</v>
      </c>
    </row>
    <row r="11" spans="1:12" ht="15" customHeight="1">
      <c r="A11" s="15" t="s">
        <v>9</v>
      </c>
      <c r="B11" s="29">
        <f>'Расчет дотаций'!P13</f>
        <v>-17757.299999999996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2.6823387582881164E-2</v>
      </c>
      <c r="G11" s="33">
        <f>F11*'Расчет дотаций'!G13</f>
        <v>0.40235081374321746</v>
      </c>
      <c r="H11" s="32">
        <f t="shared" si="1"/>
        <v>552.52291108262227</v>
      </c>
      <c r="I11" s="33">
        <f>'Расчет дотаций'!J13-1</f>
        <v>-0.66666666666666674</v>
      </c>
      <c r="J11" s="33">
        <f>I11*'Расчет дотаций'!K13</f>
        <v>-13.333333333333336</v>
      </c>
      <c r="K11" s="32">
        <f>$B11*J11/$L11</f>
        <v>-18309.822911082618</v>
      </c>
      <c r="L11" s="31">
        <f t="shared" si="3"/>
        <v>-12.930982519590119</v>
      </c>
    </row>
    <row r="12" spans="1:12" ht="15" customHeight="1">
      <c r="A12" s="15" t="s">
        <v>10</v>
      </c>
      <c r="B12" s="29">
        <f>'Расчет дотаций'!P14</f>
        <v>-6680.0999999999985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-0.37029208301306682</v>
      </c>
      <c r="G12" s="33">
        <f>F12*'Расчет дотаций'!G14</f>
        <v>-5.5543812451960024</v>
      </c>
      <c r="H12" s="32">
        <f t="shared" si="1"/>
        <v>-3036.0589716711643</v>
      </c>
      <c r="I12" s="33">
        <f>'Расчет дотаций'!J14-1</f>
        <v>-0.33333333333333337</v>
      </c>
      <c r="J12" s="33">
        <f>I12*'Расчет дотаций'!K14</f>
        <v>-6.6666666666666679</v>
      </c>
      <c r="K12" s="32">
        <f t="shared" si="2"/>
        <v>-3644.0410283288347</v>
      </c>
      <c r="L12" s="31">
        <f t="shared" si="3"/>
        <v>-12.221047911862669</v>
      </c>
    </row>
    <row r="13" spans="1:12" ht="15" customHeight="1">
      <c r="A13" s="15" t="s">
        <v>11</v>
      </c>
      <c r="B13" s="29">
        <f>'Расчет дотаций'!P15</f>
        <v>-7045.4000000000015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7.2546230440966308E-3</v>
      </c>
      <c r="G13" s="33">
        <f>F13*'Расчет дотаций'!G15</f>
        <v>0.10881934566144946</v>
      </c>
      <c r="H13" s="32">
        <f t="shared" si="1"/>
        <v>116.90967788583043</v>
      </c>
      <c r="I13" s="33">
        <f>'Расчет дотаций'!J15-1</f>
        <v>-0.33333333333333337</v>
      </c>
      <c r="J13" s="33">
        <f>I13*'Расчет дотаций'!K15</f>
        <v>-6.6666666666666679</v>
      </c>
      <c r="K13" s="32">
        <f t="shared" si="2"/>
        <v>-7162.3096778858317</v>
      </c>
      <c r="L13" s="31">
        <f t="shared" si="3"/>
        <v>-6.5578473210052186</v>
      </c>
    </row>
    <row r="14" spans="1:12" ht="15" customHeight="1">
      <c r="A14" s="15" t="s">
        <v>12</v>
      </c>
      <c r="B14" s="29">
        <f>'Расчет дотаций'!P16</f>
        <v>-2177.5999999999985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0.19482884195193018</v>
      </c>
      <c r="G14" s="33">
        <f>F14*'Расчет дотаций'!G16</f>
        <v>2.9224326292789526</v>
      </c>
      <c r="H14" s="32">
        <f t="shared" si="1"/>
        <v>1699.6505106176039</v>
      </c>
      <c r="I14" s="33">
        <f>'Расчет дотаций'!J16-1</f>
        <v>-0.33333333333333337</v>
      </c>
      <c r="J14" s="33">
        <f>I14*'Расчет дотаций'!K16</f>
        <v>-6.6666666666666679</v>
      </c>
      <c r="K14" s="32">
        <f t="shared" si="2"/>
        <v>-3877.2505106176027</v>
      </c>
      <c r="L14" s="31">
        <f t="shared" si="3"/>
        <v>-3.7442340373877152</v>
      </c>
    </row>
    <row r="15" spans="1:12" ht="15" customHeight="1">
      <c r="A15" s="15" t="s">
        <v>13</v>
      </c>
      <c r="B15" s="29">
        <f>'Расчет дотаций'!P17</f>
        <v>-11379.5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-0.18682163320445333</v>
      </c>
      <c r="G15" s="33">
        <f>F15*'Расчет дотаций'!G17</f>
        <v>-2.8023244980667998</v>
      </c>
      <c r="H15" s="32">
        <f t="shared" si="1"/>
        <v>-3367.734859075535</v>
      </c>
      <c r="I15" s="33">
        <f>'Расчет дотаций'!J17-1</f>
        <v>-0.33333333333333337</v>
      </c>
      <c r="J15" s="33">
        <f>I15*'Расчет дотаций'!K17</f>
        <v>-6.6666666666666679</v>
      </c>
      <c r="K15" s="32">
        <f t="shared" si="2"/>
        <v>-8011.7651409244654</v>
      </c>
      <c r="L15" s="31">
        <f t="shared" si="3"/>
        <v>-9.4689911647334668</v>
      </c>
    </row>
    <row r="16" spans="1:12" ht="15" customHeight="1">
      <c r="A16" s="15" t="s">
        <v>14</v>
      </c>
      <c r="B16" s="29">
        <f>'Расчет дотаций'!P18</f>
        <v>-5970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-0.57377049180327866</v>
      </c>
      <c r="G16" s="33">
        <f>F16*'Расчет дотаций'!G18</f>
        <v>-8.6065573770491799</v>
      </c>
      <c r="H16" s="32">
        <f t="shared" si="1"/>
        <v>-5970</v>
      </c>
      <c r="I16" s="33">
        <f>'Расчет дотаций'!J18-1</f>
        <v>0</v>
      </c>
      <c r="J16" s="33">
        <f>I16*'Расчет дотаций'!K18</f>
        <v>0</v>
      </c>
      <c r="K16" s="32">
        <f t="shared" si="2"/>
        <v>0</v>
      </c>
      <c r="L16" s="31">
        <f t="shared" si="3"/>
        <v>-8.6065573770491799</v>
      </c>
    </row>
    <row r="17" spans="1:12" ht="15" customHeight="1">
      <c r="A17" s="16" t="s">
        <v>17</v>
      </c>
      <c r="B17" s="28">
        <f>SUM(B18:B44)</f>
        <v>-125871.49999999999</v>
      </c>
      <c r="C17" s="28"/>
      <c r="D17" s="28"/>
      <c r="E17" s="28">
        <f>SUM(E18:E44)</f>
        <v>0</v>
      </c>
      <c r="F17" s="28"/>
      <c r="G17" s="28"/>
      <c r="H17" s="28">
        <f>SUM(H18:H44)</f>
        <v>-25606.820539764278</v>
      </c>
      <c r="I17" s="28"/>
      <c r="J17" s="28"/>
      <c r="K17" s="28">
        <f>SUM(K18:K44)</f>
        <v>-100264.67946023571</v>
      </c>
      <c r="L17" s="28"/>
    </row>
    <row r="18" spans="1:12" ht="15" customHeight="1">
      <c r="A18" s="17" t="s">
        <v>0</v>
      </c>
      <c r="B18" s="29">
        <f>'Расчет дотаций'!P20</f>
        <v>-1988.3000000000011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0.30000000000000004</v>
      </c>
      <c r="G18" s="33">
        <f>F18*'Расчет дотаций'!G20</f>
        <v>1.5000000000000002</v>
      </c>
      <c r="H18" s="32">
        <f t="shared" si="1"/>
        <v>852.12857142857183</v>
      </c>
      <c r="I18" s="33">
        <f>'Расчет дотаций'!J20-1</f>
        <v>-0.33333333333333337</v>
      </c>
      <c r="J18" s="33">
        <f>I18*'Расчет дотаций'!K20</f>
        <v>-5.0000000000000009</v>
      </c>
      <c r="K18" s="32">
        <f t="shared" ref="K18:K44" si="5">$B18*J18/$L18</f>
        <v>-2840.4285714285729</v>
      </c>
      <c r="L18" s="31">
        <f>D18+G18+J18</f>
        <v>-3.5000000000000009</v>
      </c>
    </row>
    <row r="19" spans="1:12" ht="15" customHeight="1">
      <c r="A19" s="17" t="s">
        <v>18</v>
      </c>
      <c r="B19" s="29">
        <f>'Расчет дотаций'!P21</f>
        <v>-11252.699999999997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-4.0185471406491535E-2</v>
      </c>
      <c r="G19" s="33">
        <f>F19*'Расчет дотаций'!G21</f>
        <v>-0.20092735703245768</v>
      </c>
      <c r="H19" s="32">
        <f t="shared" si="1"/>
        <v>-221.64409090909101</v>
      </c>
      <c r="I19" s="33">
        <f>'Расчет дотаций'!J21-1</f>
        <v>-0.66666666666666674</v>
      </c>
      <c r="J19" s="33">
        <f>I19*'Расчет дотаций'!K21</f>
        <v>-10.000000000000002</v>
      </c>
      <c r="K19" s="32">
        <f t="shared" si="5"/>
        <v>-11031.055909090906</v>
      </c>
      <c r="L19" s="31">
        <f t="shared" si="3"/>
        <v>-10.200927357032459</v>
      </c>
    </row>
    <row r="20" spans="1:12" ht="15" customHeight="1">
      <c r="A20" s="17" t="s">
        <v>19</v>
      </c>
      <c r="B20" s="29">
        <f>'Расчет дотаций'!P22</f>
        <v>-5357.4999999999982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0.15127970749542952</v>
      </c>
      <c r="G20" s="33">
        <f>F20*'Расчет дотаций'!G22</f>
        <v>0.75639853747714758</v>
      </c>
      <c r="H20" s="32">
        <f t="shared" si="1"/>
        <v>438.40111248454832</v>
      </c>
      <c r="I20" s="33">
        <f>'Расчет дотаций'!J22-1</f>
        <v>-0.66666666666666674</v>
      </c>
      <c r="J20" s="33">
        <f>I20*'Расчет дотаций'!K22</f>
        <v>-10.000000000000002</v>
      </c>
      <c r="K20" s="32">
        <f t="shared" si="5"/>
        <v>-5795.9011124845465</v>
      </c>
      <c r="L20" s="31">
        <f t="shared" si="3"/>
        <v>-9.2436014625228538</v>
      </c>
    </row>
    <row r="21" spans="1:12" ht="15" customHeight="1">
      <c r="A21" s="17" t="s">
        <v>20</v>
      </c>
      <c r="B21" s="29">
        <f>'Расчет дотаций'!P23</f>
        <v>-2091.1999999999971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-0.4726322263222632</v>
      </c>
      <c r="G21" s="33">
        <f>F21*'Расчет дотаций'!G23</f>
        <v>-2.3631611316113159</v>
      </c>
      <c r="H21" s="32">
        <f t="shared" si="1"/>
        <v>-2091.1999999999971</v>
      </c>
      <c r="I21" s="33">
        <f>'Расчет дотаций'!J23-1</f>
        <v>0</v>
      </c>
      <c r="J21" s="33">
        <f>I21*'Расчет дотаций'!K23</f>
        <v>0</v>
      </c>
      <c r="K21" s="32">
        <f t="shared" si="5"/>
        <v>0</v>
      </c>
      <c r="L21" s="31">
        <f t="shared" si="3"/>
        <v>-2.3631611316113159</v>
      </c>
    </row>
    <row r="22" spans="1:12" ht="15" customHeight="1">
      <c r="A22" s="17" t="s">
        <v>21</v>
      </c>
      <c r="B22" s="29">
        <f>'Расчет дотаций'!P24</f>
        <v>-7403.3000000000029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-0.61948955916473314</v>
      </c>
      <c r="G22" s="33">
        <f>F22*'Расчет дотаций'!G24</f>
        <v>-3.0974477958236655</v>
      </c>
      <c r="H22" s="32">
        <f t="shared" si="1"/>
        <v>-2831.9213467048721</v>
      </c>
      <c r="I22" s="33">
        <f>'Расчет дотаций'!J24-1</f>
        <v>-0.33333333333333337</v>
      </c>
      <c r="J22" s="33">
        <f>I22*'Расчет дотаций'!K24</f>
        <v>-5.0000000000000009</v>
      </c>
      <c r="K22" s="32">
        <f t="shared" si="5"/>
        <v>-4571.3786532951317</v>
      </c>
      <c r="L22" s="31">
        <f t="shared" si="3"/>
        <v>-8.0974477958236655</v>
      </c>
    </row>
    <row r="23" spans="1:12" ht="15" customHeight="1">
      <c r="A23" s="17" t="s">
        <v>22</v>
      </c>
      <c r="B23" s="29">
        <f>'Расчет дотаций'!P25</f>
        <v>-6522.6999999999971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-0.46666666666666667</v>
      </c>
      <c r="G23" s="33">
        <f>F23*'Расчет дотаций'!G25</f>
        <v>-2.3333333333333335</v>
      </c>
      <c r="H23" s="32">
        <f t="shared" si="1"/>
        <v>-2075.4045454545444</v>
      </c>
      <c r="I23" s="33">
        <f>'Расчет дотаций'!J25-1</f>
        <v>-0.33333333333333337</v>
      </c>
      <c r="J23" s="33">
        <f>I23*'Расчет дотаций'!K25</f>
        <v>-5.0000000000000009</v>
      </c>
      <c r="K23" s="32">
        <f t="shared" si="5"/>
        <v>-4447.2954545454531</v>
      </c>
      <c r="L23" s="31">
        <f t="shared" si="3"/>
        <v>-7.3333333333333339</v>
      </c>
    </row>
    <row r="24" spans="1:12" ht="15" customHeight="1">
      <c r="A24" s="17" t="s">
        <v>23</v>
      </c>
      <c r="B24" s="29">
        <f>'Расчет дотаций'!P26</f>
        <v>-15567.8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-0.30580574570006536</v>
      </c>
      <c r="G24" s="33">
        <f>F24*'Расчет дотаций'!G26</f>
        <v>-1.5290287285003268</v>
      </c>
      <c r="H24" s="32">
        <f t="shared" si="1"/>
        <v>-1440.1096295817911</v>
      </c>
      <c r="I24" s="33">
        <f>'Расчет дотаций'!J26-1</f>
        <v>-1</v>
      </c>
      <c r="J24" s="33">
        <f>I24*'Расчет дотаций'!K26</f>
        <v>-15</v>
      </c>
      <c r="K24" s="32">
        <f t="shared" si="5"/>
        <v>-14127.69037041821</v>
      </c>
      <c r="L24" s="31">
        <f t="shared" si="3"/>
        <v>-16.529028728500325</v>
      </c>
    </row>
    <row r="25" spans="1:12" ht="15" customHeight="1">
      <c r="A25" s="17" t="s">
        <v>24</v>
      </c>
      <c r="B25" s="29">
        <f>'Расчет дотаций'!P27</f>
        <v>247.29999999999927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0.1295518207282913</v>
      </c>
      <c r="G25" s="33">
        <f>F25*'Расчет дотаций'!G27</f>
        <v>0.6477591036414565</v>
      </c>
      <c r="H25" s="32">
        <f t="shared" si="1"/>
        <v>247.2999999999993</v>
      </c>
      <c r="I25" s="33">
        <f>'Расчет дотаций'!J27-1</f>
        <v>0</v>
      </c>
      <c r="J25" s="33">
        <f>I25*'Расчет дотаций'!K27</f>
        <v>0</v>
      </c>
      <c r="K25" s="32">
        <f t="shared" si="5"/>
        <v>0</v>
      </c>
      <c r="L25" s="31">
        <f t="shared" si="3"/>
        <v>0.6477591036414565</v>
      </c>
    </row>
    <row r="26" spans="1:12" ht="15" customHeight="1">
      <c r="A26" s="17" t="s">
        <v>25</v>
      </c>
      <c r="B26" s="29">
        <f>'Расчет дотаций'!P28</f>
        <v>-4595.9000000000015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-0.73903508771929827</v>
      </c>
      <c r="G26" s="33">
        <f>F26*'Расчет дотаций'!G28</f>
        <v>-3.6951754385964914</v>
      </c>
      <c r="H26" s="32">
        <f t="shared" si="1"/>
        <v>-1953.1126103404797</v>
      </c>
      <c r="I26" s="33">
        <f>'Расчет дотаций'!J28-1</f>
        <v>-0.33333333333333337</v>
      </c>
      <c r="J26" s="33">
        <f>I26*'Расчет дотаций'!K28</f>
        <v>-5.0000000000000009</v>
      </c>
      <c r="K26" s="32">
        <f t="shared" si="5"/>
        <v>-2642.7873896595215</v>
      </c>
      <c r="L26" s="31">
        <f t="shared" si="3"/>
        <v>-8.6951754385964932</v>
      </c>
    </row>
    <row r="27" spans="1:12" ht="15" customHeight="1">
      <c r="A27" s="17" t="s">
        <v>26</v>
      </c>
      <c r="B27" s="29">
        <f>'Расчет дотаций'!P29</f>
        <v>-2279.5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0.23545212765957446</v>
      </c>
      <c r="G27" s="33">
        <f>F27*'Расчет дотаций'!G29</f>
        <v>1.1772606382978723</v>
      </c>
      <c r="H27" s="32">
        <f t="shared" si="1"/>
        <v>702.00067833165178</v>
      </c>
      <c r="I27" s="33">
        <f>'Расчет дотаций'!J29-1</f>
        <v>-0.33333333333333337</v>
      </c>
      <c r="J27" s="33">
        <f>I27*'Расчет дотаций'!K29</f>
        <v>-5.0000000000000009</v>
      </c>
      <c r="K27" s="32">
        <f t="shared" si="5"/>
        <v>-2981.5006783316517</v>
      </c>
      <c r="L27" s="31">
        <f t="shared" si="3"/>
        <v>-3.8227393617021286</v>
      </c>
    </row>
    <row r="28" spans="1:12" ht="15" customHeight="1">
      <c r="A28" s="17" t="s">
        <v>27</v>
      </c>
      <c r="B28" s="29">
        <f>'Расчет дотаций'!P30</f>
        <v>-418.79999999999927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-0.13716009191880507</v>
      </c>
      <c r="G28" s="33">
        <f>F28*'Расчет дотаций'!G30</f>
        <v>-0.68580045959402536</v>
      </c>
      <c r="H28" s="32">
        <f t="shared" si="1"/>
        <v>-418.79999999999927</v>
      </c>
      <c r="I28" s="33">
        <f>'Расчет дотаций'!J30-1</f>
        <v>0</v>
      </c>
      <c r="J28" s="33">
        <f>I28*'Расчет дотаций'!K30</f>
        <v>0</v>
      </c>
      <c r="K28" s="32">
        <f t="shared" si="5"/>
        <v>0</v>
      </c>
      <c r="L28" s="31">
        <f t="shared" si="3"/>
        <v>-0.68580045959402536</v>
      </c>
    </row>
    <row r="29" spans="1:12" ht="15" customHeight="1">
      <c r="A29" s="17" t="s">
        <v>28</v>
      </c>
      <c r="B29" s="29">
        <f>'Расчет дотаций'!P31</f>
        <v>-499.69999999999709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-8.2766439909297107E-2</v>
      </c>
      <c r="G29" s="33">
        <f>F29*'Расчет дотаций'!G31</f>
        <v>-0.41383219954648554</v>
      </c>
      <c r="H29" s="32">
        <f t="shared" si="1"/>
        <v>-499.69999999999709</v>
      </c>
      <c r="I29" s="33">
        <f>'Расчет дотаций'!J31-1</f>
        <v>0</v>
      </c>
      <c r="J29" s="33">
        <f>I29*'Расчет дотаций'!K31</f>
        <v>0</v>
      </c>
      <c r="K29" s="32">
        <f t="shared" si="5"/>
        <v>0</v>
      </c>
      <c r="L29" s="31">
        <f t="shared" si="3"/>
        <v>-0.41383219954648554</v>
      </c>
    </row>
    <row r="30" spans="1:12" ht="15" customHeight="1">
      <c r="A30" s="17" t="s">
        <v>29</v>
      </c>
      <c r="B30" s="29">
        <f>'Расчет дотаций'!P32</f>
        <v>-5880.6999999999989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-0.76638477801268501</v>
      </c>
      <c r="G30" s="33">
        <f>F30*'Расчет дотаций'!G32</f>
        <v>-3.8319238900634249</v>
      </c>
      <c r="H30" s="32">
        <f t="shared" si="1"/>
        <v>-2551.4706762417709</v>
      </c>
      <c r="I30" s="33">
        <f>'Расчет дотаций'!J32-1</f>
        <v>-0.33333333333333337</v>
      </c>
      <c r="J30" s="33">
        <f>I30*'Расчет дотаций'!K32</f>
        <v>-5.0000000000000009</v>
      </c>
      <c r="K30" s="32">
        <f t="shared" si="5"/>
        <v>-3329.2293237582285</v>
      </c>
      <c r="L30" s="31">
        <f t="shared" si="3"/>
        <v>-8.8319238900634254</v>
      </c>
    </row>
    <row r="31" spans="1:12" ht="15" customHeight="1">
      <c r="A31" s="17" t="s">
        <v>30</v>
      </c>
      <c r="B31" s="29">
        <f>'Расчет дотаций'!P33</f>
        <v>-1832.3999999999978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-0.41500433651344315</v>
      </c>
      <c r="G31" s="33">
        <f>F31*'Расчет дотаций'!G33</f>
        <v>-2.0750216825672156</v>
      </c>
      <c r="H31" s="32">
        <f t="shared" si="1"/>
        <v>-1832.3999999999978</v>
      </c>
      <c r="I31" s="33">
        <f>'Расчет дотаций'!J33-1</f>
        <v>0</v>
      </c>
      <c r="J31" s="33">
        <f>I31*'Расчет дотаций'!K33</f>
        <v>0</v>
      </c>
      <c r="K31" s="32">
        <f t="shared" si="5"/>
        <v>0</v>
      </c>
      <c r="L31" s="31">
        <f t="shared" si="3"/>
        <v>-2.0750216825672156</v>
      </c>
    </row>
    <row r="32" spans="1:12" ht="15" customHeight="1">
      <c r="A32" s="17" t="s">
        <v>31</v>
      </c>
      <c r="B32" s="29">
        <f>'Расчет дотаций'!P34</f>
        <v>-8955.5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-0.2353448275862069</v>
      </c>
      <c r="G32" s="33">
        <f>F32*'Расчет дотаций'!G34</f>
        <v>-1.1767241379310345</v>
      </c>
      <c r="H32" s="32">
        <f t="shared" si="1"/>
        <v>-942.86598534515986</v>
      </c>
      <c r="I32" s="33">
        <f>'Расчет дотаций'!J34-1</f>
        <v>-0.66666666666666674</v>
      </c>
      <c r="J32" s="33">
        <f>I32*'Расчет дотаций'!K34</f>
        <v>-10.000000000000002</v>
      </c>
      <c r="K32" s="32">
        <f t="shared" si="5"/>
        <v>-8012.63401465484</v>
      </c>
      <c r="L32" s="31">
        <f t="shared" si="3"/>
        <v>-11.176724137931036</v>
      </c>
    </row>
    <row r="33" spans="1:13" ht="15" customHeight="1">
      <c r="A33" s="17" t="s">
        <v>1</v>
      </c>
      <c r="B33" s="29">
        <f>'Расчет дотаций'!P35</f>
        <v>-3858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0.13813919561335108</v>
      </c>
      <c r="G33" s="33">
        <f>F33*'Расчет дотаций'!G35</f>
        <v>0.69069597806675542</v>
      </c>
      <c r="H33" s="32">
        <f t="shared" si="1"/>
        <v>618.36089303954452</v>
      </c>
      <c r="I33" s="33">
        <f>'Расчет дотаций'!J35-1</f>
        <v>-0.33333333333333337</v>
      </c>
      <c r="J33" s="33">
        <f>I33*'Расчет дотаций'!K35</f>
        <v>-5.0000000000000009</v>
      </c>
      <c r="K33" s="32">
        <f t="shared" si="5"/>
        <v>-4476.3608930395449</v>
      </c>
      <c r="L33" s="31">
        <f t="shared" si="3"/>
        <v>-4.3093040219332455</v>
      </c>
    </row>
    <row r="34" spans="1:13" ht="15" customHeight="1">
      <c r="A34" s="17" t="s">
        <v>32</v>
      </c>
      <c r="B34" s="29">
        <f>'Расчет дотаций'!P36</f>
        <v>-1890.2000000000007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-0.52155172413793105</v>
      </c>
      <c r="G34" s="33">
        <f>F34*'Расчет дотаций'!G36</f>
        <v>-2.6077586206896552</v>
      </c>
      <c r="H34" s="32">
        <f t="shared" si="1"/>
        <v>-1890.2000000000005</v>
      </c>
      <c r="I34" s="33">
        <f>'Расчет дотаций'!J36-1</f>
        <v>0</v>
      </c>
      <c r="J34" s="33">
        <f>I34*'Расчет дотаций'!K36</f>
        <v>0</v>
      </c>
      <c r="K34" s="32">
        <f t="shared" si="5"/>
        <v>0</v>
      </c>
      <c r="L34" s="31">
        <f t="shared" si="3"/>
        <v>-2.6077586206896552</v>
      </c>
    </row>
    <row r="35" spans="1:13" ht="15" customHeight="1">
      <c r="A35" s="17" t="s">
        <v>33</v>
      </c>
      <c r="B35" s="29">
        <f>'Расчет дотаций'!P37</f>
        <v>-1915.7999999999993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-0.52119883040935666</v>
      </c>
      <c r="G35" s="33">
        <f>F35*'Расчет дотаций'!G37</f>
        <v>-2.6059941520467831</v>
      </c>
      <c r="H35" s="32">
        <f t="shared" si="1"/>
        <v>-656.3985583853912</v>
      </c>
      <c r="I35" s="33">
        <f>'Расчет дотаций'!J37-1</f>
        <v>-0.33333333333333337</v>
      </c>
      <c r="J35" s="33">
        <f>I35*'Расчет дотаций'!K37</f>
        <v>-5.0000000000000009</v>
      </c>
      <c r="K35" s="32">
        <f t="shared" si="5"/>
        <v>-1259.4014416146081</v>
      </c>
      <c r="L35" s="31">
        <f t="shared" si="3"/>
        <v>-7.605994152046784</v>
      </c>
    </row>
    <row r="36" spans="1:13" ht="15" customHeight="1">
      <c r="A36" s="17" t="s">
        <v>34</v>
      </c>
      <c r="B36" s="29">
        <f>'Расчет дотаций'!P38</f>
        <v>-3483.8000000000029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-0.52049549549549545</v>
      </c>
      <c r="G36" s="33">
        <f>F36*'Расчет дотаций'!G38</f>
        <v>-2.6024774774774775</v>
      </c>
      <c r="H36" s="32">
        <f t="shared" si="1"/>
        <v>-3483.8000000000029</v>
      </c>
      <c r="I36" s="33">
        <f>'Расчет дотаций'!J38-1</f>
        <v>0</v>
      </c>
      <c r="J36" s="33">
        <f>I36*'Расчет дотаций'!K38</f>
        <v>0</v>
      </c>
      <c r="K36" s="32">
        <f t="shared" si="5"/>
        <v>0</v>
      </c>
      <c r="L36" s="31">
        <f t="shared" si="3"/>
        <v>-2.6024774774774775</v>
      </c>
    </row>
    <row r="37" spans="1:13" ht="15" customHeight="1">
      <c r="A37" s="17" t="s">
        <v>35</v>
      </c>
      <c r="B37" s="29">
        <f>'Расчет дотаций'!P39</f>
        <v>-3458.9000000000015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0.21058978873239442</v>
      </c>
      <c r="G37" s="33">
        <f>F37*'Расчет дотаций'!G39</f>
        <v>1.0529489436619721</v>
      </c>
      <c r="H37" s="32">
        <f t="shared" si="1"/>
        <v>922.72561191832972</v>
      </c>
      <c r="I37" s="33">
        <f>'Расчет дотаций'!J39-1</f>
        <v>-0.33333333333333337</v>
      </c>
      <c r="J37" s="33">
        <f>I37*'Расчет дотаций'!K39</f>
        <v>-5.0000000000000009</v>
      </c>
      <c r="K37" s="32">
        <f t="shared" si="5"/>
        <v>-4381.6256119183317</v>
      </c>
      <c r="L37" s="31">
        <f t="shared" si="3"/>
        <v>-3.9470510563380286</v>
      </c>
    </row>
    <row r="38" spans="1:13" ht="15" customHeight="1">
      <c r="A38" s="17" t="s">
        <v>36</v>
      </c>
      <c r="B38" s="29">
        <f>'Расчет дотаций'!P40</f>
        <v>-6229.2999999999993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-2.7261613691931585E-2</v>
      </c>
      <c r="G38" s="33">
        <f>F38*'Расчет дотаций'!G40</f>
        <v>-0.13630806845965793</v>
      </c>
      <c r="H38" s="32">
        <f t="shared" si="1"/>
        <v>-165.31404260383218</v>
      </c>
      <c r="I38" s="33">
        <f>'Расчет дотаций'!J40-1</f>
        <v>-0.33333333333333337</v>
      </c>
      <c r="J38" s="33">
        <f>I38*'Расчет дотаций'!K40</f>
        <v>-5.0000000000000009</v>
      </c>
      <c r="K38" s="32">
        <f t="shared" si="5"/>
        <v>-6063.9859573961676</v>
      </c>
      <c r="L38" s="31">
        <f t="shared" si="3"/>
        <v>-5.1363080684596589</v>
      </c>
    </row>
    <row r="39" spans="1:13" ht="15" customHeight="1">
      <c r="A39" s="17" t="s">
        <v>37</v>
      </c>
      <c r="B39" s="29">
        <f>'Расчет дотаций'!P41</f>
        <v>-7540.9000000000015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0.12591052719108609</v>
      </c>
      <c r="G39" s="33">
        <f>F39*'Расчет дотаций'!G41</f>
        <v>0.62955263595543043</v>
      </c>
      <c r="H39" s="32">
        <f t="shared" si="1"/>
        <v>1086.2488612797058</v>
      </c>
      <c r="I39" s="33">
        <f>'Расчет дотаций'!J41-1</f>
        <v>-0.33333333333333337</v>
      </c>
      <c r="J39" s="33">
        <f>I39*'Расчет дотаций'!K41</f>
        <v>-5.0000000000000009</v>
      </c>
      <c r="K39" s="32">
        <f t="shared" si="5"/>
        <v>-8627.1488612797057</v>
      </c>
      <c r="L39" s="31">
        <f t="shared" si="3"/>
        <v>-4.3704473640445709</v>
      </c>
    </row>
    <row r="40" spans="1:13" ht="15" customHeight="1">
      <c r="A40" s="17" t="s">
        <v>38</v>
      </c>
      <c r="B40" s="29">
        <f>'Расчет дотаций'!P42</f>
        <v>-436.89999999999782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-0.12461538461538457</v>
      </c>
      <c r="G40" s="33">
        <f>F40*'Расчет дотаций'!G42</f>
        <v>-0.62307692307692286</v>
      </c>
      <c r="H40" s="32">
        <f t="shared" si="1"/>
        <v>-436.89999999999782</v>
      </c>
      <c r="I40" s="33">
        <f>'Расчет дотаций'!J42-1</f>
        <v>0</v>
      </c>
      <c r="J40" s="33">
        <f>I40*'Расчет дотаций'!K42</f>
        <v>0</v>
      </c>
      <c r="K40" s="32">
        <f t="shared" si="5"/>
        <v>0</v>
      </c>
      <c r="L40" s="31">
        <f t="shared" si="3"/>
        <v>-0.62307692307692286</v>
      </c>
    </row>
    <row r="41" spans="1:13" ht="15" customHeight="1">
      <c r="A41" s="17" t="s">
        <v>2</v>
      </c>
      <c r="B41" s="29">
        <f>'Расчет дотаций'!P43</f>
        <v>-7369.6999999999971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-0.65555555555555556</v>
      </c>
      <c r="G41" s="33">
        <f>F41*'Расчет дотаций'!G43</f>
        <v>-3.2777777777777777</v>
      </c>
      <c r="H41" s="32">
        <f t="shared" si="1"/>
        <v>-2918.2033557046966</v>
      </c>
      <c r="I41" s="33">
        <f>'Расчет дотаций'!J43-1</f>
        <v>-0.33333333333333337</v>
      </c>
      <c r="J41" s="33">
        <f>I41*'Расчет дотаций'!K43</f>
        <v>-5.0000000000000009</v>
      </c>
      <c r="K41" s="32">
        <f t="shared" si="5"/>
        <v>-4451.4966442953009</v>
      </c>
      <c r="L41" s="31">
        <f t="shared" si="3"/>
        <v>-8.2777777777777786</v>
      </c>
    </row>
    <row r="42" spans="1:13" ht="15" customHeight="1">
      <c r="A42" s="17" t="s">
        <v>39</v>
      </c>
      <c r="B42" s="29">
        <f>'Расчет дотаций'!P44</f>
        <v>-5774.3999999999978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-0.74385510996119009</v>
      </c>
      <c r="G42" s="33">
        <f>F42*'Расчет дотаций'!G44</f>
        <v>-3.7192755498059507</v>
      </c>
      <c r="H42" s="32">
        <f t="shared" si="1"/>
        <v>-2463.1157270029662</v>
      </c>
      <c r="I42" s="33">
        <f>'Расчет дотаций'!J44-1</f>
        <v>-0.33333333333333337</v>
      </c>
      <c r="J42" s="33">
        <f>I42*'Расчет дотаций'!K44</f>
        <v>-5.0000000000000009</v>
      </c>
      <c r="K42" s="32">
        <f t="shared" si="5"/>
        <v>-3311.2842729970316</v>
      </c>
      <c r="L42" s="31">
        <f t="shared" si="3"/>
        <v>-8.7192755498059515</v>
      </c>
    </row>
    <row r="43" spans="1:13" ht="15" customHeight="1">
      <c r="A43" s="17" t="s">
        <v>3</v>
      </c>
      <c r="B43" s="29">
        <f>'Расчет дотаций'!P45</f>
        <v>-5749.9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-0.84314903846153844</v>
      </c>
      <c r="G43" s="33">
        <f>F43*'Расчет дотаций'!G45</f>
        <v>-4.2157451923076925</v>
      </c>
      <c r="H43" s="32">
        <f t="shared" si="1"/>
        <v>-2630.2933485490703</v>
      </c>
      <c r="I43" s="33">
        <f>'Расчет дотаций'!J45-1</f>
        <v>-0.33333333333333337</v>
      </c>
      <c r="J43" s="33">
        <f>I43*'Расчет дотаций'!K45</f>
        <v>-5.0000000000000009</v>
      </c>
      <c r="K43" s="32">
        <f t="shared" si="5"/>
        <v>-3119.6066514509293</v>
      </c>
      <c r="L43" s="31">
        <f t="shared" si="3"/>
        <v>-9.2157451923076934</v>
      </c>
    </row>
    <row r="44" spans="1:13" ht="15" customHeight="1">
      <c r="A44" s="17" t="s">
        <v>40</v>
      </c>
      <c r="B44" s="29">
        <f>'Расчет дотаций'!P46</f>
        <v>-3765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0.21462162162162146</v>
      </c>
      <c r="G44" s="33">
        <f>F44*'Расчет дотаций'!G46</f>
        <v>1.0731081081081073</v>
      </c>
      <c r="H44" s="32">
        <f t="shared" si="1"/>
        <v>1028.8676485770316</v>
      </c>
      <c r="I44" s="33">
        <f>'Расчет дотаций'!J46-1</f>
        <v>-0.33333333333333337</v>
      </c>
      <c r="J44" s="33">
        <f>I44*'Расчет дотаций'!K46</f>
        <v>-5.0000000000000009</v>
      </c>
      <c r="K44" s="32">
        <f t="shared" si="5"/>
        <v>-4793.867648577032</v>
      </c>
      <c r="L44" s="31">
        <f t="shared" si="3"/>
        <v>-3.9268918918918936</v>
      </c>
    </row>
    <row r="45" spans="1:13" s="27" customFormat="1" ht="15" customHeight="1">
      <c r="A45" s="26" t="s">
        <v>45</v>
      </c>
      <c r="B45" s="30">
        <f>B6+B17</f>
        <v>-186086.89999999997</v>
      </c>
      <c r="C45" s="30"/>
      <c r="D45" s="30"/>
      <c r="E45" s="30">
        <f>E6+E17</f>
        <v>0</v>
      </c>
      <c r="F45" s="30"/>
      <c r="G45" s="30"/>
      <c r="H45" s="30">
        <f>H6+H17</f>
        <v>-44817.031270924912</v>
      </c>
      <c r="I45" s="30"/>
      <c r="J45" s="30"/>
      <c r="K45" s="30">
        <f>K6+K17</f>
        <v>-141269.86872907507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2026-08-12T12:28:17Z</cp:lastPrinted>
  <dcterms:created xsi:type="dcterms:W3CDTF">2010-02-05T14:48:49Z</dcterms:created>
  <dcterms:modified xsi:type="dcterms:W3CDTF">2026-09-23T07:53:50Z</dcterms:modified>
</cp:coreProperties>
</file>