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дотаций'!$A$1:$AB$50</definedName>
  </definedNames>
  <calcPr calcId="125725"/>
</workbook>
</file>

<file path=xl/calcChain.xml><?xml version="1.0" encoding="utf-8"?>
<calcChain xmlns="http://schemas.openxmlformats.org/spreadsheetml/2006/main">
  <c r="B17" i="8"/>
  <c r="B7"/>
  <c r="B6" s="1"/>
  <c r="AB18" i="7"/>
  <c r="AB9"/>
  <c r="V18" l="1"/>
  <c r="V9"/>
  <c r="P47" l="1"/>
  <c r="Q47"/>
  <c r="R47"/>
  <c r="S47"/>
  <c r="O47"/>
  <c r="P19"/>
  <c r="Q19"/>
  <c r="R19"/>
  <c r="S19"/>
  <c r="T19"/>
  <c r="T47" s="1"/>
  <c r="U19"/>
  <c r="O19"/>
  <c r="P8"/>
  <c r="Q8"/>
  <c r="R8"/>
  <c r="S8"/>
  <c r="T8"/>
  <c r="U8"/>
  <c r="O8"/>
  <c r="N21"/>
  <c r="V21" s="1"/>
  <c r="AB21" s="1"/>
  <c r="N22"/>
  <c r="V22" s="1"/>
  <c r="AB22" s="1"/>
  <c r="N23"/>
  <c r="V23" s="1"/>
  <c r="AB23" s="1"/>
  <c r="N24"/>
  <c r="V24" s="1"/>
  <c r="AB24" s="1"/>
  <c r="N25"/>
  <c r="V25" s="1"/>
  <c r="AB25" s="1"/>
  <c r="N26"/>
  <c r="V26" s="1"/>
  <c r="AB26" s="1"/>
  <c r="N27"/>
  <c r="V27" s="1"/>
  <c r="AB27" s="1"/>
  <c r="N28"/>
  <c r="V28" s="1"/>
  <c r="AB28" s="1"/>
  <c r="N29"/>
  <c r="V29" s="1"/>
  <c r="AB29" s="1"/>
  <c r="N30"/>
  <c r="V30" s="1"/>
  <c r="AB30" s="1"/>
  <c r="N31"/>
  <c r="V31" s="1"/>
  <c r="AB31" s="1"/>
  <c r="N32"/>
  <c r="V32" s="1"/>
  <c r="AB32" s="1"/>
  <c r="N33"/>
  <c r="V33" s="1"/>
  <c r="AB33" s="1"/>
  <c r="N34"/>
  <c r="V34" s="1"/>
  <c r="AB34" s="1"/>
  <c r="N35"/>
  <c r="V35" s="1"/>
  <c r="AB35" s="1"/>
  <c r="N36"/>
  <c r="V36" s="1"/>
  <c r="AB36" s="1"/>
  <c r="N37"/>
  <c r="V37" s="1"/>
  <c r="AB37" s="1"/>
  <c r="N38"/>
  <c r="V38" s="1"/>
  <c r="AB38" s="1"/>
  <c r="N39"/>
  <c r="V39" s="1"/>
  <c r="AB39" s="1"/>
  <c r="N40"/>
  <c r="V40" s="1"/>
  <c r="AB40" s="1"/>
  <c r="N41"/>
  <c r="V41" s="1"/>
  <c r="AB41" s="1"/>
  <c r="N42"/>
  <c r="V42" s="1"/>
  <c r="AB42" s="1"/>
  <c r="N43"/>
  <c r="V43" s="1"/>
  <c r="AB43" s="1"/>
  <c r="N44"/>
  <c r="V44" s="1"/>
  <c r="AB44" s="1"/>
  <c r="N45"/>
  <c r="V45" s="1"/>
  <c r="AB45" s="1"/>
  <c r="N46"/>
  <c r="V46" s="1"/>
  <c r="AB46" s="1"/>
  <c r="N20"/>
  <c r="V20" s="1"/>
  <c r="N10"/>
  <c r="V10" s="1"/>
  <c r="AB10" s="1"/>
  <c r="N11"/>
  <c r="N12"/>
  <c r="V12" s="1"/>
  <c r="AB12" s="1"/>
  <c r="N13"/>
  <c r="V13" s="1"/>
  <c r="AB13" s="1"/>
  <c r="N14"/>
  <c r="V14" s="1"/>
  <c r="AB14" s="1"/>
  <c r="N15"/>
  <c r="V15" s="1"/>
  <c r="AB15" s="1"/>
  <c r="N16"/>
  <c r="V16" s="1"/>
  <c r="AB16" s="1"/>
  <c r="N17"/>
  <c r="V17" s="1"/>
  <c r="AB17" s="1"/>
  <c r="N18"/>
  <c r="N9"/>
  <c r="M19"/>
  <c r="M8"/>
  <c r="AB20" l="1"/>
  <c r="AB19" s="1"/>
  <c r="V19"/>
  <c r="N19"/>
  <c r="N8"/>
  <c r="V11"/>
  <c r="M47"/>
  <c r="U47"/>
  <c r="N47" l="1"/>
  <c r="AB11"/>
  <c r="AB8" s="1"/>
  <c r="AB47" s="1"/>
  <c r="V8"/>
  <c r="V47" s="1"/>
  <c r="L47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20"/>
  <c r="L19"/>
  <c r="L10"/>
  <c r="L11"/>
  <c r="L8" s="1"/>
  <c r="L12"/>
  <c r="L13"/>
  <c r="L14"/>
  <c r="L15"/>
  <c r="L16"/>
  <c r="L17"/>
  <c r="L18"/>
  <c r="L9"/>
  <c r="K47"/>
  <c r="K19"/>
  <c r="K9"/>
  <c r="K8"/>
  <c r="J47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J8" s="1"/>
  <c r="H9"/>
  <c r="J19" l="1"/>
  <c r="I31" l="1"/>
  <c r="I24"/>
  <c r="I23"/>
  <c r="I20"/>
  <c r="I15"/>
  <c r="I12"/>
  <c r="I11"/>
  <c r="H46"/>
  <c r="K46" s="1"/>
  <c r="H35"/>
  <c r="K35" s="1"/>
  <c r="H34"/>
  <c r="K34" s="1"/>
  <c r="H23"/>
  <c r="K23" s="1"/>
  <c r="H22"/>
  <c r="K22" s="1"/>
  <c r="F46"/>
  <c r="F44" i="8" s="1"/>
  <c r="G44" s="1"/>
  <c r="F45" i="7"/>
  <c r="F43" i="8" s="1"/>
  <c r="G43" s="1"/>
  <c r="F44" i="7"/>
  <c r="F42" i="8" s="1"/>
  <c r="G42" s="1"/>
  <c r="F43" i="7"/>
  <c r="F41" i="8" s="1"/>
  <c r="G41" s="1"/>
  <c r="F42" i="7"/>
  <c r="F40" i="8" s="1"/>
  <c r="G40" s="1"/>
  <c r="F41" i="7"/>
  <c r="F39" i="8" s="1"/>
  <c r="G39" s="1"/>
  <c r="F40" i="7"/>
  <c r="F38" i="8" s="1"/>
  <c r="G38" s="1"/>
  <c r="F39" i="7"/>
  <c r="F37" i="8" s="1"/>
  <c r="G37" s="1"/>
  <c r="F38" i="7"/>
  <c r="F36" i="8" s="1"/>
  <c r="G36" s="1"/>
  <c r="F37" i="7"/>
  <c r="F35" i="8" s="1"/>
  <c r="G35" s="1"/>
  <c r="F36" i="7"/>
  <c r="F34" i="8" s="1"/>
  <c r="G34" s="1"/>
  <c r="F35" i="7"/>
  <c r="F33" i="8" s="1"/>
  <c r="G33" s="1"/>
  <c r="F34" i="7"/>
  <c r="F32" i="8" s="1"/>
  <c r="G32" s="1"/>
  <c r="F33" i="7"/>
  <c r="F31" i="8" s="1"/>
  <c r="G31" s="1"/>
  <c r="F32" i="7"/>
  <c r="F30" i="8" s="1"/>
  <c r="G30" s="1"/>
  <c r="F31" i="7"/>
  <c r="F29" i="8" s="1"/>
  <c r="G29" s="1"/>
  <c r="F30" i="7"/>
  <c r="F28" i="8" s="1"/>
  <c r="G28" s="1"/>
  <c r="F29" i="7"/>
  <c r="F27" i="8" s="1"/>
  <c r="G27" s="1"/>
  <c r="F28" i="7"/>
  <c r="F26" i="8" s="1"/>
  <c r="G26" s="1"/>
  <c r="F27" i="7"/>
  <c r="F25" i="8" s="1"/>
  <c r="G25" s="1"/>
  <c r="F26" i="7"/>
  <c r="F24" i="8" s="1"/>
  <c r="G24" s="1"/>
  <c r="F25" i="7"/>
  <c r="F23" i="8" s="1"/>
  <c r="G23" s="1"/>
  <c r="F24" i="7"/>
  <c r="F22" i="8" s="1"/>
  <c r="G22" s="1"/>
  <c r="F23" i="7"/>
  <c r="F21" i="8" s="1"/>
  <c r="G21" s="1"/>
  <c r="F22" i="7"/>
  <c r="F20" i="8" s="1"/>
  <c r="G20" s="1"/>
  <c r="F21" i="7"/>
  <c r="F19" i="8" s="1"/>
  <c r="G19" s="1"/>
  <c r="F20" i="7"/>
  <c r="F18" i="8" s="1"/>
  <c r="G18" s="1"/>
  <c r="F10" i="7"/>
  <c r="F8" i="8" s="1"/>
  <c r="G8" s="1"/>
  <c r="F11" i="7"/>
  <c r="F9" i="8" s="1"/>
  <c r="G9" s="1"/>
  <c r="F12" i="7"/>
  <c r="F10" i="8" s="1"/>
  <c r="G10" s="1"/>
  <c r="F13" i="7"/>
  <c r="F11" i="8" s="1"/>
  <c r="G11" s="1"/>
  <c r="F14" i="7"/>
  <c r="F12" i="8" s="1"/>
  <c r="G12" s="1"/>
  <c r="F15" i="7"/>
  <c r="F16"/>
  <c r="F14" i="8" s="1"/>
  <c r="G14" s="1"/>
  <c r="F17" i="7"/>
  <c r="F15" i="8" s="1"/>
  <c r="G15" s="1"/>
  <c r="F18" i="7"/>
  <c r="F16" i="8" s="1"/>
  <c r="G16" s="1"/>
  <c r="F9" i="7"/>
  <c r="F7" i="8" s="1"/>
  <c r="G7" s="1"/>
  <c r="H33" i="7" l="1"/>
  <c r="K33" s="1"/>
  <c r="H45"/>
  <c r="K45" s="1"/>
  <c r="H32"/>
  <c r="K32" s="1"/>
  <c r="H44"/>
  <c r="K44" s="1"/>
  <c r="H10"/>
  <c r="K10" s="1"/>
  <c r="H31"/>
  <c r="K31" s="1"/>
  <c r="H43"/>
  <c r="K43" s="1"/>
  <c r="H11"/>
  <c r="K11" s="1"/>
  <c r="H30"/>
  <c r="K30" s="1"/>
  <c r="H42"/>
  <c r="K42" s="1"/>
  <c r="H20"/>
  <c r="K20" s="1"/>
  <c r="H15"/>
  <c r="K15" s="1"/>
  <c r="F13" i="8"/>
  <c r="G13" s="1"/>
  <c r="H13" i="7"/>
  <c r="K13" s="1"/>
  <c r="H28"/>
  <c r="K28" s="1"/>
  <c r="H40"/>
  <c r="K40" s="1"/>
  <c r="H21"/>
  <c r="K21" s="1"/>
  <c r="H14"/>
  <c r="K14" s="1"/>
  <c r="H27"/>
  <c r="K27" s="1"/>
  <c r="H39"/>
  <c r="K39" s="1"/>
  <c r="H41"/>
  <c r="K41" s="1"/>
  <c r="H16"/>
  <c r="K16" s="1"/>
  <c r="H26"/>
  <c r="K26" s="1"/>
  <c r="H38"/>
  <c r="K38" s="1"/>
  <c r="H12"/>
  <c r="K12" s="1"/>
  <c r="H17"/>
  <c r="K17" s="1"/>
  <c r="H25"/>
  <c r="K25" s="1"/>
  <c r="H37"/>
  <c r="K37" s="1"/>
  <c r="H29"/>
  <c r="K29" s="1"/>
  <c r="H24"/>
  <c r="K24" s="1"/>
  <c r="H36"/>
  <c r="K36" s="1"/>
  <c r="H18"/>
  <c r="K18" s="1"/>
  <c r="E19"/>
  <c r="F19" s="1"/>
  <c r="D19"/>
  <c r="E8"/>
  <c r="F8" s="1"/>
  <c r="D8"/>
  <c r="D47" l="1"/>
  <c r="E47"/>
  <c r="F47" l="1"/>
  <c r="AA47" l="1"/>
  <c r="Z47"/>
  <c r="Y47"/>
  <c r="X47"/>
  <c r="W47"/>
  <c r="I19" l="1"/>
  <c r="I8" l="1"/>
  <c r="I47" l="1"/>
  <c r="H47" l="1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B43" l="1"/>
  <c r="H43" s="1"/>
  <c r="B19"/>
  <c r="H19" s="1"/>
  <c r="B40"/>
  <c r="H40" s="1"/>
  <c r="B32"/>
  <c r="H32" s="1"/>
  <c r="B38"/>
  <c r="H38" s="1"/>
  <c r="B33"/>
  <c r="H33" s="1"/>
  <c r="B25"/>
  <c r="H25" s="1"/>
  <c r="B21"/>
  <c r="H21" s="1"/>
  <c r="B14"/>
  <c r="H14" s="1"/>
  <c r="B11"/>
  <c r="H11" s="1"/>
  <c r="B15"/>
  <c r="H15" s="1"/>
  <c r="B13"/>
  <c r="H13" s="1"/>
  <c r="B9"/>
  <c r="H9" s="1"/>
  <c r="B29"/>
  <c r="H29" s="1"/>
  <c r="B37"/>
  <c r="H37" s="1"/>
  <c r="B41"/>
  <c r="H41" s="1"/>
  <c r="B10"/>
  <c r="H10" s="1"/>
  <c r="B8"/>
  <c r="H8" s="1"/>
  <c r="B20"/>
  <c r="H20" s="1"/>
  <c r="B24"/>
  <c r="H24" s="1"/>
  <c r="B28"/>
  <c r="H28" s="1"/>
  <c r="B36"/>
  <c r="H36" s="1"/>
  <c r="B44"/>
  <c r="H44" s="1"/>
  <c r="B22"/>
  <c r="H22" s="1"/>
  <c r="B26"/>
  <c r="H26" s="1"/>
  <c r="B30"/>
  <c r="H30" s="1"/>
  <c r="B34"/>
  <c r="H34" s="1"/>
  <c r="B42"/>
  <c r="H42" s="1"/>
  <c r="B23"/>
  <c r="H23" s="1"/>
  <c r="B27"/>
  <c r="H27" s="1"/>
  <c r="B31"/>
  <c r="H31" s="1"/>
  <c r="B35"/>
  <c r="H35" s="1"/>
  <c r="B39"/>
  <c r="H39" s="1"/>
  <c r="B12"/>
  <c r="H12" s="1"/>
  <c r="B16"/>
  <c r="H16" s="1"/>
  <c r="E43" l="1"/>
  <c r="E39"/>
  <c r="E37"/>
  <c r="E35"/>
  <c r="E33"/>
  <c r="E31"/>
  <c r="E29"/>
  <c r="E27"/>
  <c r="E25"/>
  <c r="E23"/>
  <c r="E21"/>
  <c r="E19"/>
  <c r="B18"/>
  <c r="H18" s="1"/>
  <c r="H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H7" l="1"/>
  <c r="H6" s="1"/>
  <c r="H45" s="1"/>
  <c r="E7"/>
  <c r="E6" s="1"/>
  <c r="E18"/>
  <c r="E17" s="1"/>
  <c r="E45" l="1"/>
  <c r="B45"/>
</calcChain>
</file>

<file path=xl/sharedStrings.xml><?xml version="1.0" encoding="utf-8"?>
<sst xmlns="http://schemas.openxmlformats.org/spreadsheetml/2006/main" count="141" uniqueCount="93">
  <si>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</si>
  <si>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</si>
  <si>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</si>
  <si>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</si>
  <si>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</si>
  <si>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</si>
  <si>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</si>
  <si>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</si>
  <si>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</si>
  <si>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</si>
  <si>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</si>
  <si>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</si>
  <si>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</si>
  <si>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</si>
  <si>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</si>
  <si>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</si>
  <si>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</si>
  <si>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</si>
  <si>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</si>
  <si>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</si>
  <si>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</si>
  <si>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</si>
  <si>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</si>
  <si>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</si>
  <si>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</si>
  <si>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</si>
  <si>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</si>
  <si>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</si>
  <si>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</si>
  <si>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</si>
  <si>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</si>
  <si>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</si>
  <si>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</si>
  <si>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</si>
  <si>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</si>
  <si>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</si>
  <si>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</si>
  <si>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</si>
  <si>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</si>
  <si>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</si>
  <si>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</si>
  <si>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</si>
  <si>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</si>
  <si>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</si>
  <si>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</si>
  <si>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</si>
  <si>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</si>
  <si>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</si>
  <si>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</si>
  <si>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</si>
  <si>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</si>
  <si>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</si>
  <si>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</si>
  <si>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</si>
  <si>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</si>
  <si>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</si>
  <si>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</si>
  <si>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</si>
  <si>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</si>
  <si>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</si>
  <si>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</si>
  <si>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</si>
  <si>
    <t>за январь</t>
  </si>
  <si>
    <t>План распределения 
за период, 
тыс. рублей</t>
  </si>
  <si>
    <t>за февраль</t>
  </si>
  <si>
    <t xml:space="preserve">досрочно
(распоряжение 
МФ СО 
от 25.03.2026 
№ 01-08/11) </t>
  </si>
  <si>
    <t xml:space="preserve">досрочно
(распоряжение 
МФ СО 
от 17.04.2026 
№ 01-08/17) </t>
  </si>
  <si>
    <t>за март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</si>
  <si>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</si>
  <si>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</si>
  <si>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</si>
  <si>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</si>
  <si>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</si>
  <si>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</si>
  <si>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Ранее предоставленные дотации в 2026 году, тыс. рублей</t>
  </si>
  <si>
    <t>Общая площадь введенного в эксплуатацию жилья с учетом индивидуального жилищного строительства</t>
  </si>
  <si>
    <t xml:space="preserve"> + / -
(8)=(2)*(7)/(9)</t>
  </si>
  <si>
    <t xml:space="preserve"> + / -
(5)=(2)*(4)/(9)</t>
  </si>
  <si>
    <t>за апрель</t>
  </si>
  <si>
    <t>Распределение за отчетный период с учетом удержания, тыс. рублей</t>
  </si>
  <si>
    <t>14=11-13</t>
  </si>
  <si>
    <t>за 6 месяцев 2026 года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</si>
  <si>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01.04.2026)</t>
    </r>
  </si>
  <si>
    <t>10=9/11мес.*6мес.</t>
  </si>
  <si>
    <t>за май</t>
  </si>
  <si>
    <t>22=14-(15+…+21)</t>
  </si>
  <si>
    <t>Распределение дотаций за июнь за вычетом ранее предоставленных дотаций, тыс. рублей</t>
  </si>
  <si>
    <t>непривлечение кредитов кредитных организаций в июне 2026 года</t>
  </si>
  <si>
    <t>МО, муниципальный долг которых на 01.07.2026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</si>
  <si>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июне 2026 года (не применяется если объем долга на 01.07.2026 не превышает его объем по состоянию на начало 2026 года)</t>
  </si>
  <si>
    <t>Удержание дотаций 
в 2026 году в связи с исполнением показателей 
за 2025 год 
(2/5 от суммы взысканя), 
тыс. рублей</t>
  </si>
  <si>
    <t>Факторный анализ влияния отдельных показателей на итоговое распределение за 6 месяцев 2026 года</t>
  </si>
  <si>
    <t>Распределение дотаций за июнь с учетом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</si>
</sst>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74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6699FF"/>
      <color rgb="FFFF99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I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3" sqref="A3:A6"/>
    </sheetView>
  </sheetViews>
  <sheetFormatPr defaultColWidth="9.140625" defaultRowHeight="12.75"/>
  <cols>
    <col min="1" max="1" width="27.140625" style="1" customWidth="1"/>
    <col min="2" max="2" width="13.7109375" style="1" customWidth="1"/>
    <col min="3" max="3" width="9.28515625" style="1" customWidth="1"/>
    <col min="4" max="5" width="10.140625" style="1" customWidth="1"/>
    <col min="6" max="6" width="13" style="1" customWidth="1"/>
    <col min="7" max="7" width="10.140625" style="1" customWidth="1"/>
    <col min="8" max="8" width="12.7109375" style="1" customWidth="1"/>
    <col min="9" max="9" width="11.42578125" style="1" customWidth="1"/>
    <col min="10" max="10" width="16.28515625" style="1" customWidth="1"/>
    <col min="11" max="11" width="13.5703125" style="1" customWidth="1"/>
    <col min="12" max="12" width="13.42578125" style="1" customWidth="1"/>
    <col min="13" max="14" width="14.28515625" style="1" customWidth="1"/>
    <col min="15" max="21" width="11.28515625" style="1" customWidth="1"/>
    <col min="22" max="22" width="16.5703125" style="1" customWidth="1"/>
    <col min="23" max="23" width="18.42578125" style="1" customWidth="1"/>
    <col min="24" max="25" width="18.85546875" style="1" customWidth="1"/>
    <col min="26" max="26" width="15.140625" style="1" customWidth="1"/>
    <col min="27" max="27" width="14" style="1" customWidth="1"/>
    <col min="28" max="28" width="13.42578125" style="1" customWidth="1"/>
    <col min="29" max="29" width="36.28515625" style="1" bestFit="1" customWidth="1"/>
    <col min="30" max="30" width="13.7109375" style="1" bestFit="1" customWidth="1"/>
    <col min="31" max="31" width="12.5703125" style="1" bestFit="1" customWidth="1"/>
    <col min="32" max="32" width="10.5703125" style="1" bestFit="1" customWidth="1"/>
    <col min="33" max="16384" width="9.140625" style="1"/>
  </cols>
  <sheetData>
    <row r="1" spans="1:35" ht="21.75" customHeight="1">
      <c r="B1" s="64" t="s">
        <v>51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</row>
    <row r="2" spans="1:35" ht="15.75">
      <c r="A2" s="35" t="s">
        <v>81</v>
      </c>
    </row>
    <row r="3" spans="1:35" ht="25.5" customHeight="1">
      <c r="A3" s="62" t="s">
        <v>15</v>
      </c>
      <c r="B3" s="67" t="s">
        <v>57</v>
      </c>
      <c r="C3" s="67"/>
      <c r="D3" s="63" t="s">
        <v>82</v>
      </c>
      <c r="E3" s="63"/>
      <c r="F3" s="63"/>
      <c r="G3" s="63"/>
      <c r="H3" s="66" t="s">
        <v>47</v>
      </c>
      <c r="I3" s="65" t="s">
        <v>54</v>
      </c>
      <c r="J3" s="62" t="s">
        <v>63</v>
      </c>
      <c r="K3" s="62" t="s">
        <v>55</v>
      </c>
      <c r="L3" s="62" t="s">
        <v>56</v>
      </c>
      <c r="M3" s="62" t="s">
        <v>90</v>
      </c>
      <c r="N3" s="62" t="s">
        <v>79</v>
      </c>
      <c r="O3" s="62" t="s">
        <v>74</v>
      </c>
      <c r="P3" s="62"/>
      <c r="Q3" s="62"/>
      <c r="R3" s="62"/>
      <c r="S3" s="62"/>
      <c r="T3" s="62"/>
      <c r="U3" s="62"/>
      <c r="V3" s="62" t="s">
        <v>86</v>
      </c>
      <c r="W3" s="61" t="s">
        <v>53</v>
      </c>
      <c r="X3" s="61"/>
      <c r="Y3" s="61"/>
      <c r="Z3" s="61"/>
      <c r="AA3" s="61"/>
      <c r="AB3" s="62" t="s">
        <v>92</v>
      </c>
    </row>
    <row r="4" spans="1:35" ht="42.75" customHeight="1">
      <c r="A4" s="62"/>
      <c r="B4" s="67"/>
      <c r="C4" s="67"/>
      <c r="D4" s="63"/>
      <c r="E4" s="63"/>
      <c r="F4" s="63"/>
      <c r="G4" s="63"/>
      <c r="H4" s="66"/>
      <c r="I4" s="65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1" t="s">
        <v>87</v>
      </c>
      <c r="X4" s="61"/>
      <c r="Y4" s="61" t="s">
        <v>89</v>
      </c>
      <c r="Z4" s="61" t="s">
        <v>59</v>
      </c>
      <c r="AA4" s="61" t="s">
        <v>60</v>
      </c>
      <c r="AB4" s="62"/>
    </row>
    <row r="5" spans="1:35" ht="87" customHeight="1">
      <c r="A5" s="62"/>
      <c r="B5" s="67"/>
      <c r="C5" s="67"/>
      <c r="D5" s="63"/>
      <c r="E5" s="63"/>
      <c r="F5" s="63"/>
      <c r="G5" s="63"/>
      <c r="H5" s="66"/>
      <c r="I5" s="65"/>
      <c r="J5" s="62"/>
      <c r="K5" s="62"/>
      <c r="L5" s="62"/>
      <c r="M5" s="62"/>
      <c r="N5" s="62"/>
      <c r="O5" s="62" t="s">
        <v>62</v>
      </c>
      <c r="P5" s="62" t="s">
        <v>64</v>
      </c>
      <c r="Q5" s="62" t="s">
        <v>65</v>
      </c>
      <c r="R5" s="62" t="s">
        <v>66</v>
      </c>
      <c r="S5" s="62" t="s">
        <v>67</v>
      </c>
      <c r="T5" s="62" t="s">
        <v>78</v>
      </c>
      <c r="U5" s="62" t="s">
        <v>84</v>
      </c>
      <c r="V5" s="62"/>
      <c r="W5" s="61" t="s">
        <v>58</v>
      </c>
      <c r="X5" s="61" t="s">
        <v>88</v>
      </c>
      <c r="Y5" s="61"/>
      <c r="Z5" s="61"/>
      <c r="AA5" s="61"/>
      <c r="AB5" s="62"/>
    </row>
    <row r="6" spans="1:35" ht="32.25" customHeight="1">
      <c r="A6" s="62"/>
      <c r="B6" s="58" t="s">
        <v>48</v>
      </c>
      <c r="C6" s="58" t="s">
        <v>16</v>
      </c>
      <c r="D6" s="57" t="s">
        <v>68</v>
      </c>
      <c r="E6" s="57" t="s">
        <v>69</v>
      </c>
      <c r="F6" s="57" t="s">
        <v>70</v>
      </c>
      <c r="G6" s="57" t="s">
        <v>16</v>
      </c>
      <c r="H6" s="66"/>
      <c r="I6" s="65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1"/>
      <c r="X6" s="61"/>
      <c r="Y6" s="61"/>
      <c r="Z6" s="61"/>
      <c r="AA6" s="61"/>
      <c r="AB6" s="62"/>
    </row>
    <row r="7" spans="1:35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71</v>
      </c>
      <c r="G7" s="13">
        <v>7</v>
      </c>
      <c r="H7" s="13">
        <v>8</v>
      </c>
      <c r="I7" s="13">
        <v>9</v>
      </c>
      <c r="J7" s="13" t="s">
        <v>83</v>
      </c>
      <c r="K7" s="13" t="s">
        <v>72</v>
      </c>
      <c r="L7" s="13" t="s">
        <v>73</v>
      </c>
      <c r="M7" s="13">
        <v>13</v>
      </c>
      <c r="N7" s="13" t="s">
        <v>80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 t="s">
        <v>85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"/>
      <c r="AD7" s="1"/>
      <c r="AE7" s="1"/>
      <c r="AF7" s="1"/>
      <c r="AG7" s="1"/>
      <c r="AH7" s="1"/>
      <c r="AI7" s="1"/>
    </row>
    <row r="8" spans="1:35" s="3" customFormat="1" ht="15.75">
      <c r="A8" s="20" t="s">
        <v>4</v>
      </c>
      <c r="B8" s="9"/>
      <c r="C8" s="9"/>
      <c r="D8" s="51">
        <f>SUM(D9:D18)</f>
        <v>199696</v>
      </c>
      <c r="E8" s="51">
        <f>SUM(E9:E18)</f>
        <v>202648</v>
      </c>
      <c r="F8" s="52">
        <f>IF(E8/D8&gt;1.2,IF((E8/D8-1.2)*0.1+1.2&gt;1.3,1.3,(E8/D8-1.2)*0.1+1.2),E8/D8)</f>
        <v>1.0147824693534171</v>
      </c>
      <c r="G8" s="9"/>
      <c r="H8" s="10"/>
      <c r="I8" s="46">
        <f t="shared" ref="I8" si="0">SUM(I9:I18)</f>
        <v>593729</v>
      </c>
      <c r="J8" s="18">
        <f t="shared" ref="J8:O8" si="1">SUM(J9:J18)</f>
        <v>323852.09999999998</v>
      </c>
      <c r="K8" s="18">
        <f t="shared" si="1"/>
        <v>312995.69999999995</v>
      </c>
      <c r="L8" s="18">
        <f t="shared" si="1"/>
        <v>-10856.399999999998</v>
      </c>
      <c r="M8" s="18">
        <f t="shared" si="1"/>
        <v>22595.600000000002</v>
      </c>
      <c r="N8" s="18">
        <f t="shared" si="1"/>
        <v>290400.09999999998</v>
      </c>
      <c r="O8" s="18">
        <f t="shared" si="1"/>
        <v>53879.9</v>
      </c>
      <c r="P8" s="18">
        <f t="shared" ref="P8:U8" si="2">SUM(P9:P18)</f>
        <v>53880.000000000007</v>
      </c>
      <c r="Q8" s="18">
        <f t="shared" si="2"/>
        <v>0</v>
      </c>
      <c r="R8" s="18">
        <f t="shared" si="2"/>
        <v>15336</v>
      </c>
      <c r="S8" s="18">
        <f t="shared" si="2"/>
        <v>46908.900000000009</v>
      </c>
      <c r="T8" s="18">
        <f t="shared" si="2"/>
        <v>46556.9</v>
      </c>
      <c r="U8" s="18">
        <f t="shared" si="2"/>
        <v>28481.9</v>
      </c>
      <c r="V8" s="18">
        <f>SUM(V9:V18)</f>
        <v>45356.499999999993</v>
      </c>
      <c r="W8" s="18"/>
      <c r="X8" s="18"/>
      <c r="Y8" s="18"/>
      <c r="Z8" s="18"/>
      <c r="AA8" s="18"/>
      <c r="AB8" s="18">
        <f>SUM(AB9:AB18)</f>
        <v>45356.499999999993</v>
      </c>
      <c r="AC8" s="1"/>
      <c r="AD8" s="1"/>
      <c r="AE8" s="1"/>
      <c r="AF8" s="1"/>
      <c r="AG8" s="1"/>
      <c r="AH8" s="1"/>
      <c r="AI8" s="1"/>
    </row>
    <row r="9" spans="1:35" s="2" customFormat="1" ht="16.5" customHeight="1">
      <c r="A9" s="5" t="s">
        <v>5</v>
      </c>
      <c r="B9" s="4">
        <v>1</v>
      </c>
      <c r="C9" s="4">
        <v>10</v>
      </c>
      <c r="D9" s="4">
        <v>129255</v>
      </c>
      <c r="E9" s="4">
        <v>134934</v>
      </c>
      <c r="F9" s="53">
        <f>IF(G9=0,0,IF(D9=0,1,IF(E9&lt;0,0,IF(E9/D9&gt;1.2,IF((E9/D9-1.2)*0.1+1.2&gt;1.3,1.3,(E9/D9-1.2)*0.1+1.2),E9/D9))))</f>
        <v>1.0439364047812463</v>
      </c>
      <c r="G9" s="4">
        <v>15</v>
      </c>
      <c r="H9" s="24">
        <f>(B9*C9+F9*G9)/(C9+G9)</f>
        <v>1.0263618428687478</v>
      </c>
      <c r="I9" s="49">
        <v>0</v>
      </c>
      <c r="J9" s="19">
        <f>ROUND(I9/11*6,1)</f>
        <v>0</v>
      </c>
      <c r="K9" s="19">
        <f>ROUND(H9*J9,1)</f>
        <v>0</v>
      </c>
      <c r="L9" s="19">
        <f>K9-J9</f>
        <v>0</v>
      </c>
      <c r="M9" s="19"/>
      <c r="N9" s="19">
        <f>K9-M9</f>
        <v>0</v>
      </c>
      <c r="O9" s="19">
        <v>0</v>
      </c>
      <c r="P9" s="19">
        <v>0</v>
      </c>
      <c r="Q9" s="19"/>
      <c r="R9" s="19"/>
      <c r="S9" s="19">
        <v>0</v>
      </c>
      <c r="T9" s="19">
        <v>0</v>
      </c>
      <c r="U9" s="19">
        <v>0</v>
      </c>
      <c r="V9" s="19">
        <f>N9-SUM(O9:U9)</f>
        <v>0</v>
      </c>
      <c r="W9" s="43"/>
      <c r="X9" s="43"/>
      <c r="Y9" s="44" t="s">
        <v>61</v>
      </c>
      <c r="Z9" s="44" t="s">
        <v>61</v>
      </c>
      <c r="AA9" s="44" t="s">
        <v>61</v>
      </c>
      <c r="AB9" s="19">
        <f>IF(OR(W9="-",X9="-",Y9="-",Z9="-",AA9="-"),0,IF(V9&lt;0,0,V9))</f>
        <v>0</v>
      </c>
      <c r="AC9" s="1"/>
      <c r="AD9" s="1"/>
      <c r="AE9" s="1"/>
      <c r="AF9" s="36"/>
      <c r="AG9" s="36"/>
      <c r="AH9" s="1"/>
      <c r="AI9" s="1"/>
    </row>
    <row r="10" spans="1:35" s="2" customFormat="1" ht="17.100000000000001" customHeight="1">
      <c r="A10" s="5" t="s">
        <v>6</v>
      </c>
      <c r="B10" s="4">
        <v>1</v>
      </c>
      <c r="C10" s="4">
        <v>10</v>
      </c>
      <c r="D10" s="4">
        <v>16688</v>
      </c>
      <c r="E10" s="4">
        <v>18308</v>
      </c>
      <c r="F10" s="53">
        <f t="shared" ref="F10:F46" si="3">IF(G10=0,0,IF(D10=0,1,IF(E10&lt;0,0,IF(E10/D10&gt;1.2,IF((E10/D10-1.2)*0.1+1.2&gt;1.3,1.3,(E10/D10-1.2)*0.1+1.2),E10/D10))))</f>
        <v>1.0970757430488973</v>
      </c>
      <c r="G10" s="4">
        <v>15</v>
      </c>
      <c r="H10" s="24">
        <f t="shared" ref="H10:H45" si="4">(B10*C10+F10*G10)/(C10+G10)</f>
        <v>1.0582454458293384</v>
      </c>
      <c r="I10" s="49">
        <v>90774</v>
      </c>
      <c r="J10" s="19">
        <f t="shared" ref="J10:J18" si="5">ROUND(I10/11*6,1)</f>
        <v>49513.1</v>
      </c>
      <c r="K10" s="19">
        <f t="shared" ref="K10:K18" si="6">ROUND(H10*J10,1)</f>
        <v>52397</v>
      </c>
      <c r="L10" s="19">
        <f t="shared" ref="L10:L18" si="7">K10-J10</f>
        <v>2883.9000000000015</v>
      </c>
      <c r="M10" s="19">
        <v>9396</v>
      </c>
      <c r="N10" s="19">
        <f t="shared" ref="N10:N18" si="8">K10-M10</f>
        <v>43001</v>
      </c>
      <c r="O10" s="19">
        <v>8252.2000000000007</v>
      </c>
      <c r="P10" s="19">
        <v>8252.2000000000007</v>
      </c>
      <c r="Q10" s="19"/>
      <c r="R10" s="19"/>
      <c r="S10" s="19">
        <v>8252.0999999999985</v>
      </c>
      <c r="T10" s="19">
        <v>10174.800000000003</v>
      </c>
      <c r="U10" s="19">
        <v>4034.9</v>
      </c>
      <c r="V10" s="19">
        <f t="shared" ref="V10:V18" si="9">N10-SUM(O10:U10)</f>
        <v>4034.7999999999956</v>
      </c>
      <c r="W10" s="43"/>
      <c r="X10" s="43"/>
      <c r="Y10" s="44"/>
      <c r="Z10" s="44"/>
      <c r="AA10" s="44"/>
      <c r="AB10" s="19">
        <f t="shared" ref="AB10:AB18" si="10">IF(OR(W10="-",X10="-",Y10="-",Z10="-",AA10="-"),0,IF(V10&lt;0,0,V10))</f>
        <v>4034.7999999999956</v>
      </c>
      <c r="AC10" s="1"/>
      <c r="AD10" s="1"/>
      <c r="AE10" s="1"/>
      <c r="AF10" s="36"/>
      <c r="AG10" s="36"/>
      <c r="AH10" s="1"/>
      <c r="AI10" s="1"/>
    </row>
    <row r="11" spans="1:35" s="2" customFormat="1" ht="17.100000000000001" customHeight="1">
      <c r="A11" s="5" t="s">
        <v>7</v>
      </c>
      <c r="B11" s="4">
        <v>1</v>
      </c>
      <c r="C11" s="4">
        <v>10</v>
      </c>
      <c r="D11" s="4">
        <v>9937</v>
      </c>
      <c r="E11" s="4">
        <v>12395</v>
      </c>
      <c r="F11" s="53">
        <f t="shared" si="3"/>
        <v>1.2047358357653215</v>
      </c>
      <c r="G11" s="4">
        <v>15</v>
      </c>
      <c r="H11" s="24">
        <f t="shared" si="4"/>
        <v>1.1228415014591928</v>
      </c>
      <c r="I11" s="49">
        <f>87502+175</f>
        <v>87677</v>
      </c>
      <c r="J11" s="19">
        <f t="shared" si="5"/>
        <v>47823.8</v>
      </c>
      <c r="K11" s="19">
        <f t="shared" si="6"/>
        <v>53698.5</v>
      </c>
      <c r="L11" s="19">
        <f t="shared" si="7"/>
        <v>5874.6999999999971</v>
      </c>
      <c r="M11" s="19">
        <v>6365.8</v>
      </c>
      <c r="N11" s="19">
        <f t="shared" si="8"/>
        <v>47332.7</v>
      </c>
      <c r="O11" s="19">
        <v>7954.7</v>
      </c>
      <c r="P11" s="19">
        <v>7954.8</v>
      </c>
      <c r="Q11" s="19"/>
      <c r="R11" s="19"/>
      <c r="S11" s="19">
        <v>7954.7000000000007</v>
      </c>
      <c r="T11" s="19">
        <v>11934.8</v>
      </c>
      <c r="U11" s="19">
        <v>5766.9000000000015</v>
      </c>
      <c r="V11" s="19">
        <f t="shared" si="9"/>
        <v>5766.7999999999956</v>
      </c>
      <c r="W11" s="43"/>
      <c r="X11" s="43"/>
      <c r="Y11" s="44"/>
      <c r="Z11" s="44"/>
      <c r="AA11" s="44"/>
      <c r="AB11" s="19">
        <f t="shared" si="10"/>
        <v>5766.7999999999956</v>
      </c>
      <c r="AC11" s="1"/>
      <c r="AD11" s="1"/>
      <c r="AE11" s="1"/>
      <c r="AF11" s="36"/>
      <c r="AG11" s="36"/>
      <c r="AH11" s="1"/>
      <c r="AI11" s="1"/>
    </row>
    <row r="12" spans="1:35" s="2" customFormat="1" ht="17.100000000000001" customHeight="1">
      <c r="A12" s="5" t="s">
        <v>8</v>
      </c>
      <c r="B12" s="4">
        <v>1</v>
      </c>
      <c r="C12" s="4">
        <v>10</v>
      </c>
      <c r="D12" s="4">
        <v>8357</v>
      </c>
      <c r="E12" s="4">
        <v>5890</v>
      </c>
      <c r="F12" s="53">
        <f t="shared" si="3"/>
        <v>0.70479837262175427</v>
      </c>
      <c r="G12" s="4">
        <v>15</v>
      </c>
      <c r="H12" s="24">
        <f t="shared" si="4"/>
        <v>0.82287902357305254</v>
      </c>
      <c r="I12" s="49">
        <f>76681+67</f>
        <v>76748</v>
      </c>
      <c r="J12" s="19">
        <f t="shared" si="5"/>
        <v>41862.5</v>
      </c>
      <c r="K12" s="19">
        <f t="shared" si="6"/>
        <v>34447.800000000003</v>
      </c>
      <c r="L12" s="19">
        <f t="shared" si="7"/>
        <v>-7414.6999999999971</v>
      </c>
      <c r="M12" s="19"/>
      <c r="N12" s="19">
        <f t="shared" si="8"/>
        <v>34447.800000000003</v>
      </c>
      <c r="O12" s="19">
        <v>6971</v>
      </c>
      <c r="P12" s="19">
        <v>6971</v>
      </c>
      <c r="Q12" s="19"/>
      <c r="R12" s="19">
        <v>15336</v>
      </c>
      <c r="S12" s="19">
        <v>0</v>
      </c>
      <c r="T12" s="19">
        <v>0</v>
      </c>
      <c r="U12" s="19">
        <v>0</v>
      </c>
      <c r="V12" s="19">
        <f t="shared" si="9"/>
        <v>5169.8000000000029</v>
      </c>
      <c r="W12" s="43"/>
      <c r="X12" s="43"/>
      <c r="Y12" s="44"/>
      <c r="Z12" s="44"/>
      <c r="AA12" s="44"/>
      <c r="AB12" s="19">
        <f t="shared" si="10"/>
        <v>5169.8000000000029</v>
      </c>
      <c r="AC12" s="1"/>
      <c r="AD12" s="1"/>
      <c r="AE12" s="1"/>
      <c r="AF12" s="36"/>
      <c r="AG12" s="36"/>
      <c r="AH12" s="1"/>
      <c r="AI12" s="1"/>
    </row>
    <row r="13" spans="1:35" s="2" customFormat="1" ht="17.100000000000001" customHeight="1">
      <c r="A13" s="5" t="s">
        <v>9</v>
      </c>
      <c r="B13" s="4">
        <v>1</v>
      </c>
      <c r="C13" s="4">
        <v>10</v>
      </c>
      <c r="D13" s="4">
        <v>4977</v>
      </c>
      <c r="E13" s="4">
        <v>5299</v>
      </c>
      <c r="F13" s="53">
        <f t="shared" si="3"/>
        <v>1.0646976090014064</v>
      </c>
      <c r="G13" s="4">
        <v>15</v>
      </c>
      <c r="H13" s="24">
        <f t="shared" si="4"/>
        <v>1.0388185654008439</v>
      </c>
      <c r="I13" s="49">
        <v>84969</v>
      </c>
      <c r="J13" s="19">
        <f t="shared" si="5"/>
        <v>46346.7</v>
      </c>
      <c r="K13" s="19">
        <f t="shared" si="6"/>
        <v>48145.8</v>
      </c>
      <c r="L13" s="19">
        <f t="shared" si="7"/>
        <v>1799.1000000000058</v>
      </c>
      <c r="M13" s="19">
        <v>2895.2</v>
      </c>
      <c r="N13" s="19">
        <f t="shared" si="8"/>
        <v>45250.600000000006</v>
      </c>
      <c r="O13" s="19">
        <v>7724.5</v>
      </c>
      <c r="P13" s="19">
        <v>7724.4</v>
      </c>
      <c r="Q13" s="19"/>
      <c r="R13" s="19"/>
      <c r="S13" s="19">
        <v>7724.5000000000018</v>
      </c>
      <c r="T13" s="19">
        <v>8923.7999999999993</v>
      </c>
      <c r="U13" s="19">
        <v>6576.7999999999993</v>
      </c>
      <c r="V13" s="19">
        <f t="shared" si="9"/>
        <v>6576.6000000000058</v>
      </c>
      <c r="W13" s="43"/>
      <c r="X13" s="43"/>
      <c r="Y13" s="44"/>
      <c r="Z13" s="44"/>
      <c r="AA13" s="44"/>
      <c r="AB13" s="19">
        <f t="shared" si="10"/>
        <v>6576.6000000000058</v>
      </c>
      <c r="AC13" s="1"/>
      <c r="AD13" s="1"/>
      <c r="AE13" s="1"/>
      <c r="AF13" s="36"/>
      <c r="AG13" s="36"/>
      <c r="AH13" s="1"/>
      <c r="AI13" s="1"/>
    </row>
    <row r="14" spans="1:35" s="2" customFormat="1" ht="17.100000000000001" customHeight="1">
      <c r="A14" s="5" t="s">
        <v>10</v>
      </c>
      <c r="B14" s="4">
        <v>1</v>
      </c>
      <c r="C14" s="4">
        <v>10</v>
      </c>
      <c r="D14" s="4">
        <v>2602</v>
      </c>
      <c r="E14" s="4">
        <v>1194</v>
      </c>
      <c r="F14" s="53">
        <f t="shared" si="3"/>
        <v>0.45887778631821674</v>
      </c>
      <c r="G14" s="4">
        <v>15</v>
      </c>
      <c r="H14" s="24">
        <f t="shared" si="4"/>
        <v>0.67532667179093009</v>
      </c>
      <c r="I14" s="49">
        <v>33821</v>
      </c>
      <c r="J14" s="19">
        <f t="shared" si="5"/>
        <v>18447.8</v>
      </c>
      <c r="K14" s="19">
        <f t="shared" si="6"/>
        <v>12458.3</v>
      </c>
      <c r="L14" s="19">
        <f t="shared" si="7"/>
        <v>-5989.5</v>
      </c>
      <c r="M14" s="19"/>
      <c r="N14" s="19">
        <f t="shared" si="8"/>
        <v>12458.3</v>
      </c>
      <c r="O14" s="19">
        <v>3074.6</v>
      </c>
      <c r="P14" s="19">
        <v>3074.7000000000003</v>
      </c>
      <c r="Q14" s="19"/>
      <c r="R14" s="19"/>
      <c r="S14" s="19">
        <v>3074.5999999999995</v>
      </c>
      <c r="T14" s="19">
        <v>0</v>
      </c>
      <c r="U14" s="19">
        <v>1158</v>
      </c>
      <c r="V14" s="19">
        <f t="shared" si="9"/>
        <v>2076.3999999999996</v>
      </c>
      <c r="W14" s="43"/>
      <c r="X14" s="43"/>
      <c r="Y14" s="44"/>
      <c r="Z14" s="44"/>
      <c r="AA14" s="44"/>
      <c r="AB14" s="19">
        <f t="shared" si="10"/>
        <v>2076.3999999999996</v>
      </c>
      <c r="AC14" s="1"/>
      <c r="AD14" s="1"/>
      <c r="AE14" s="1"/>
      <c r="AF14" s="36"/>
      <c r="AG14" s="36"/>
      <c r="AH14" s="1"/>
    </row>
    <row r="15" spans="1:35" s="2" customFormat="1" ht="16.5" customHeight="1">
      <c r="A15" s="5" t="s">
        <v>11</v>
      </c>
      <c r="B15" s="4">
        <v>1</v>
      </c>
      <c r="C15" s="4">
        <v>10</v>
      </c>
      <c r="D15" s="4">
        <v>3515</v>
      </c>
      <c r="E15" s="4">
        <v>3468</v>
      </c>
      <c r="F15" s="53">
        <f t="shared" si="3"/>
        <v>0.98662873399715501</v>
      </c>
      <c r="G15" s="4">
        <v>15</v>
      </c>
      <c r="H15" s="24">
        <f>(B15*C15+F15*G15)/(C15+G15)</f>
        <v>0.99197724039829294</v>
      </c>
      <c r="I15" s="49">
        <f>65667+808</f>
        <v>66475</v>
      </c>
      <c r="J15" s="19">
        <f t="shared" si="5"/>
        <v>36259.1</v>
      </c>
      <c r="K15" s="19">
        <f t="shared" si="6"/>
        <v>35968.199999999997</v>
      </c>
      <c r="L15" s="19">
        <f t="shared" si="7"/>
        <v>-290.90000000000146</v>
      </c>
      <c r="M15" s="19">
        <v>1869.4</v>
      </c>
      <c r="N15" s="19">
        <f t="shared" si="8"/>
        <v>34098.799999999996</v>
      </c>
      <c r="O15" s="19">
        <v>5969.7</v>
      </c>
      <c r="P15" s="19">
        <v>5969.8</v>
      </c>
      <c r="Q15" s="19"/>
      <c r="R15" s="19"/>
      <c r="S15" s="19">
        <v>5969.7000000000007</v>
      </c>
      <c r="T15" s="19">
        <v>6069.5999999999985</v>
      </c>
      <c r="U15" s="19">
        <v>0</v>
      </c>
      <c r="V15" s="19">
        <f t="shared" si="9"/>
        <v>10119.999999999996</v>
      </c>
      <c r="W15" s="43"/>
      <c r="X15" s="43"/>
      <c r="Y15" s="44"/>
      <c r="Z15" s="44"/>
      <c r="AA15" s="44"/>
      <c r="AB15" s="19">
        <f t="shared" si="10"/>
        <v>10119.999999999996</v>
      </c>
      <c r="AC15" s="1"/>
      <c r="AD15" s="1"/>
      <c r="AE15" s="1"/>
      <c r="AF15" s="36"/>
      <c r="AG15" s="36"/>
      <c r="AH15" s="1"/>
    </row>
    <row r="16" spans="1:35" s="2" customFormat="1" ht="17.100000000000001" customHeight="1">
      <c r="A16" s="34" t="s">
        <v>12</v>
      </c>
      <c r="B16" s="4">
        <v>1</v>
      </c>
      <c r="C16" s="4">
        <v>10</v>
      </c>
      <c r="D16" s="4">
        <v>1373</v>
      </c>
      <c r="E16" s="4">
        <v>2084</v>
      </c>
      <c r="F16" s="53">
        <f t="shared" si="3"/>
        <v>1.2317844136926439</v>
      </c>
      <c r="G16" s="4">
        <v>15</v>
      </c>
      <c r="H16" s="24">
        <f t="shared" si="4"/>
        <v>1.1390706482155863</v>
      </c>
      <c r="I16" s="49">
        <v>35986</v>
      </c>
      <c r="J16" s="19">
        <f t="shared" si="5"/>
        <v>19628.7</v>
      </c>
      <c r="K16" s="19">
        <f t="shared" si="6"/>
        <v>22358.5</v>
      </c>
      <c r="L16" s="19">
        <f t="shared" si="7"/>
        <v>2729.7999999999993</v>
      </c>
      <c r="M16" s="19">
        <v>388</v>
      </c>
      <c r="N16" s="19">
        <f t="shared" si="8"/>
        <v>21970.5</v>
      </c>
      <c r="O16" s="19">
        <v>3271.5</v>
      </c>
      <c r="P16" s="19">
        <v>3271.3999999999996</v>
      </c>
      <c r="Q16" s="19"/>
      <c r="R16" s="19"/>
      <c r="S16" s="19">
        <v>3271.5</v>
      </c>
      <c r="T16" s="19">
        <v>5091.3000000000011</v>
      </c>
      <c r="U16" s="19">
        <v>3532.3999999999978</v>
      </c>
      <c r="V16" s="19">
        <f t="shared" si="9"/>
        <v>3532.4000000000015</v>
      </c>
      <c r="W16" s="43"/>
      <c r="X16" s="43"/>
      <c r="Y16" s="44"/>
      <c r="Z16" s="44"/>
      <c r="AA16" s="44"/>
      <c r="AB16" s="19">
        <f t="shared" si="10"/>
        <v>3532.4000000000015</v>
      </c>
      <c r="AC16" s="1"/>
      <c r="AD16" s="1"/>
      <c r="AE16" s="1"/>
      <c r="AF16" s="36"/>
      <c r="AG16" s="36"/>
      <c r="AH16" s="1"/>
    </row>
    <row r="17" spans="1:35" s="2" customFormat="1" ht="17.100000000000001" customHeight="1">
      <c r="A17" s="5" t="s">
        <v>13</v>
      </c>
      <c r="B17" s="4">
        <v>1</v>
      </c>
      <c r="C17" s="4">
        <v>10</v>
      </c>
      <c r="D17" s="4">
        <v>21467</v>
      </c>
      <c r="E17" s="4">
        <v>18295</v>
      </c>
      <c r="F17" s="53">
        <f t="shared" si="3"/>
        <v>0.85223831928075655</v>
      </c>
      <c r="G17" s="4">
        <v>15</v>
      </c>
      <c r="H17" s="24">
        <f t="shared" si="4"/>
        <v>0.911342991568454</v>
      </c>
      <c r="I17" s="49">
        <v>74359</v>
      </c>
      <c r="J17" s="19">
        <f t="shared" si="5"/>
        <v>40559.5</v>
      </c>
      <c r="K17" s="19">
        <f t="shared" si="6"/>
        <v>36963.599999999999</v>
      </c>
      <c r="L17" s="19">
        <f t="shared" si="7"/>
        <v>-3595.9000000000015</v>
      </c>
      <c r="M17" s="19">
        <v>1681.2</v>
      </c>
      <c r="N17" s="19">
        <f t="shared" si="8"/>
        <v>35282.400000000001</v>
      </c>
      <c r="O17" s="19">
        <v>6759.9</v>
      </c>
      <c r="P17" s="19">
        <v>6759.9</v>
      </c>
      <c r="Q17" s="19"/>
      <c r="R17" s="19"/>
      <c r="S17" s="19">
        <v>6759.9000000000015</v>
      </c>
      <c r="T17" s="19">
        <v>4362.5999999999985</v>
      </c>
      <c r="U17" s="19">
        <v>5320.0000000000036</v>
      </c>
      <c r="V17" s="19">
        <f t="shared" si="9"/>
        <v>5320.0999999999985</v>
      </c>
      <c r="W17" s="43"/>
      <c r="X17" s="43"/>
      <c r="Y17" s="44"/>
      <c r="Z17" s="44"/>
      <c r="AA17" s="44"/>
      <c r="AB17" s="19">
        <f t="shared" si="10"/>
        <v>5320.0999999999985</v>
      </c>
      <c r="AC17" s="1"/>
      <c r="AD17" s="1"/>
      <c r="AE17" s="1"/>
      <c r="AF17" s="36"/>
      <c r="AG17" s="36"/>
      <c r="AH17" s="1"/>
    </row>
    <row r="18" spans="1:35" s="2" customFormat="1" ht="17.100000000000001" customHeight="1">
      <c r="A18" s="5" t="s">
        <v>14</v>
      </c>
      <c r="B18" s="4">
        <v>1</v>
      </c>
      <c r="C18" s="4">
        <v>10</v>
      </c>
      <c r="D18" s="4">
        <v>1525</v>
      </c>
      <c r="E18" s="4">
        <v>781</v>
      </c>
      <c r="F18" s="53">
        <f t="shared" si="3"/>
        <v>0.51213114754098366</v>
      </c>
      <c r="G18" s="4">
        <v>15</v>
      </c>
      <c r="H18" s="24">
        <f>(B18*C18+F18*G18)/(C18+G18)</f>
        <v>0.70727868852459008</v>
      </c>
      <c r="I18" s="49">
        <v>42920</v>
      </c>
      <c r="J18" s="19">
        <f t="shared" si="5"/>
        <v>23410.9</v>
      </c>
      <c r="K18" s="19">
        <f t="shared" si="6"/>
        <v>16558</v>
      </c>
      <c r="L18" s="19">
        <f t="shared" si="7"/>
        <v>-6852.9000000000015</v>
      </c>
      <c r="M18" s="19"/>
      <c r="N18" s="19">
        <f t="shared" si="8"/>
        <v>16558</v>
      </c>
      <c r="O18" s="19">
        <v>3901.8</v>
      </c>
      <c r="P18" s="19">
        <v>3901.8</v>
      </c>
      <c r="Q18" s="19"/>
      <c r="R18" s="19"/>
      <c r="S18" s="19">
        <v>3901.8999999999996</v>
      </c>
      <c r="T18" s="19">
        <v>0</v>
      </c>
      <c r="U18" s="19">
        <v>2092.8999999999996</v>
      </c>
      <c r="V18" s="19">
        <f t="shared" si="9"/>
        <v>2759.6000000000004</v>
      </c>
      <c r="W18" s="44"/>
      <c r="X18" s="43"/>
      <c r="Y18" s="44"/>
      <c r="Z18" s="44"/>
      <c r="AA18" s="44"/>
      <c r="AB18" s="19">
        <f t="shared" si="10"/>
        <v>2759.6000000000004</v>
      </c>
      <c r="AC18" s="1"/>
      <c r="AD18" s="1"/>
      <c r="AE18" s="1"/>
      <c r="AF18" s="36"/>
      <c r="AG18" s="36"/>
      <c r="AH18" s="1"/>
    </row>
    <row r="19" spans="1:35" s="2" customFormat="1" ht="17.100000000000001" customHeight="1">
      <c r="A19" s="7" t="s">
        <v>17</v>
      </c>
      <c r="B19" s="9"/>
      <c r="C19" s="9"/>
      <c r="D19" s="51">
        <f>SUM(D20:D46)</f>
        <v>223311</v>
      </c>
      <c r="E19" s="51">
        <f>SUM(E20:E46)</f>
        <v>251160</v>
      </c>
      <c r="F19" s="52">
        <f>IF(E19/D19&gt;1.2,IF((E19/D19-1.2)*0.1+1.2&gt;1.3,1.3,(E19/D19-1.2)*0.1+1.2),E19/D19)</f>
        <v>1.1247094858739606</v>
      </c>
      <c r="G19" s="9"/>
      <c r="H19" s="10"/>
      <c r="I19" s="46">
        <f t="shared" ref="I19:O19" si="11">SUM(I20:I46)</f>
        <v>924741</v>
      </c>
      <c r="J19" s="18">
        <f t="shared" si="11"/>
        <v>504404.10000000003</v>
      </c>
      <c r="K19" s="18">
        <f t="shared" si="11"/>
        <v>478431.50000000006</v>
      </c>
      <c r="L19" s="18">
        <f t="shared" si="11"/>
        <v>-25972.600000000002</v>
      </c>
      <c r="M19" s="18">
        <f t="shared" si="11"/>
        <v>22911.4</v>
      </c>
      <c r="N19" s="18">
        <f t="shared" si="11"/>
        <v>455520.10000000003</v>
      </c>
      <c r="O19" s="18">
        <f t="shared" si="11"/>
        <v>82483.899999999994</v>
      </c>
      <c r="P19" s="18">
        <f t="shared" ref="P19:U19" si="12">SUM(P20:P46)</f>
        <v>82483.7</v>
      </c>
      <c r="Q19" s="18">
        <f t="shared" si="12"/>
        <v>10000</v>
      </c>
      <c r="R19" s="18">
        <f t="shared" si="12"/>
        <v>0</v>
      </c>
      <c r="S19" s="18">
        <f t="shared" si="12"/>
        <v>77935.599999999991</v>
      </c>
      <c r="T19" s="18">
        <f t="shared" si="12"/>
        <v>67731.199999999997</v>
      </c>
      <c r="U19" s="18">
        <f t="shared" si="12"/>
        <v>67621.800000000017</v>
      </c>
      <c r="V19" s="18">
        <f>SUM(V20:V46)</f>
        <v>67263.899999999994</v>
      </c>
      <c r="W19" s="18"/>
      <c r="X19" s="18"/>
      <c r="Y19" s="18"/>
      <c r="Z19" s="18"/>
      <c r="AA19" s="18"/>
      <c r="AB19" s="18">
        <f>SUM(AB20:AB46)</f>
        <v>69302</v>
      </c>
      <c r="AC19" s="1"/>
      <c r="AD19" s="1"/>
      <c r="AE19" s="1"/>
      <c r="AF19" s="36"/>
      <c r="AG19" s="36"/>
      <c r="AH19" s="1"/>
      <c r="AI19" s="1"/>
    </row>
    <row r="20" spans="1:35" s="2" customFormat="1" ht="17.100000000000001" customHeight="1">
      <c r="A20" s="6" t="s">
        <v>0</v>
      </c>
      <c r="B20" s="4">
        <v>1</v>
      </c>
      <c r="C20" s="4">
        <v>10</v>
      </c>
      <c r="D20" s="4">
        <v>207</v>
      </c>
      <c r="E20" s="4">
        <v>801</v>
      </c>
      <c r="F20" s="53">
        <f t="shared" si="3"/>
        <v>1.3</v>
      </c>
      <c r="G20" s="4">
        <v>5</v>
      </c>
      <c r="H20" s="24">
        <f t="shared" si="4"/>
        <v>1.1000000000000001</v>
      </c>
      <c r="I20" s="49">
        <f>18433+5000</f>
        <v>23433</v>
      </c>
      <c r="J20" s="19">
        <f>ROUND(I20/11*6,1)</f>
        <v>12781.6</v>
      </c>
      <c r="K20" s="19">
        <f>ROUND(H20*J20,1)</f>
        <v>14059.8</v>
      </c>
      <c r="L20" s="19">
        <f>K20-J20</f>
        <v>1278.1999999999989</v>
      </c>
      <c r="M20" s="19">
        <v>2721</v>
      </c>
      <c r="N20" s="19">
        <f>K20-M20</f>
        <v>11338.8</v>
      </c>
      <c r="O20" s="19">
        <v>1675.7</v>
      </c>
      <c r="P20" s="19">
        <v>1675.8</v>
      </c>
      <c r="Q20" s="19"/>
      <c r="R20" s="19"/>
      <c r="S20" s="19">
        <v>1675.6999999999998</v>
      </c>
      <c r="T20" s="19">
        <v>4346.0000000000009</v>
      </c>
      <c r="U20" s="19">
        <v>982.8</v>
      </c>
      <c r="V20" s="19">
        <f>N20-SUM(O20:U20)</f>
        <v>982.79999999999927</v>
      </c>
      <c r="W20" s="44"/>
      <c r="X20" s="43"/>
      <c r="Y20" s="44"/>
      <c r="Z20" s="44"/>
      <c r="AA20" s="44"/>
      <c r="AB20" s="19">
        <f>IF(OR(W20="-",X20="-",Y20="-",Z20="-",AA20="-"),0,IF(V20&lt;0,0,V20))</f>
        <v>982.79999999999927</v>
      </c>
      <c r="AC20" s="1"/>
      <c r="AD20" s="1"/>
      <c r="AE20" s="1"/>
      <c r="AF20" s="36"/>
      <c r="AG20" s="36"/>
      <c r="AH20" s="1"/>
      <c r="AI20" s="1"/>
    </row>
    <row r="21" spans="1:35" s="2" customFormat="1" ht="17.100000000000001" customHeight="1">
      <c r="A21" s="6" t="s">
        <v>18</v>
      </c>
      <c r="B21" s="4">
        <v>1</v>
      </c>
      <c r="C21" s="4">
        <v>10</v>
      </c>
      <c r="D21" s="4">
        <v>3882</v>
      </c>
      <c r="E21" s="4">
        <v>5076</v>
      </c>
      <c r="F21" s="53">
        <f t="shared" si="3"/>
        <v>1.2107573415765069</v>
      </c>
      <c r="G21" s="4">
        <v>5</v>
      </c>
      <c r="H21" s="24">
        <f t="shared" si="4"/>
        <v>1.0702524471921688</v>
      </c>
      <c r="I21" s="49">
        <v>45503</v>
      </c>
      <c r="J21" s="19">
        <f t="shared" ref="J21:J46" si="13">ROUND(I21/11*6,1)</f>
        <v>24819.8</v>
      </c>
      <c r="K21" s="19">
        <f t="shared" ref="K21:K45" si="14">ROUND(H21*J21,1)</f>
        <v>26563.5</v>
      </c>
      <c r="L21" s="19">
        <f t="shared" ref="L21:L46" si="15">K21-J21</f>
        <v>1743.7000000000007</v>
      </c>
      <c r="M21" s="19"/>
      <c r="N21" s="19">
        <f t="shared" ref="N21:N46" si="16">K21-M21</f>
        <v>26563.5</v>
      </c>
      <c r="O21" s="19">
        <v>4136.6000000000004</v>
      </c>
      <c r="P21" s="19">
        <v>4136.6999999999989</v>
      </c>
      <c r="Q21" s="19"/>
      <c r="R21" s="19"/>
      <c r="S21" s="19">
        <v>4136.6000000000004</v>
      </c>
      <c r="T21" s="19">
        <v>5299.0000000000018</v>
      </c>
      <c r="U21" s="19">
        <v>4427.2999999999993</v>
      </c>
      <c r="V21" s="19">
        <f t="shared" ref="V21:V46" si="17">N21-SUM(O21:U21)</f>
        <v>4427.2999999999993</v>
      </c>
      <c r="W21" s="43"/>
      <c r="X21" s="43"/>
      <c r="Y21" s="44"/>
      <c r="Z21" s="44"/>
      <c r="AA21" s="44"/>
      <c r="AB21" s="19">
        <f t="shared" ref="AB21:AB46" si="18">IF(OR(W21="-",X21="-",Y21="-",Z21="-",AA21="-"),0,IF(V21&lt;0,0,V21))</f>
        <v>4427.2999999999993</v>
      </c>
      <c r="AC21" s="1"/>
      <c r="AD21" s="1"/>
      <c r="AE21" s="1"/>
      <c r="AF21" s="36"/>
      <c r="AG21" s="36"/>
      <c r="AH21" s="1"/>
      <c r="AI21" s="1"/>
    </row>
    <row r="22" spans="1:35" s="2" customFormat="1" ht="17.100000000000001" customHeight="1">
      <c r="A22" s="6" t="s">
        <v>19</v>
      </c>
      <c r="B22" s="4">
        <v>1</v>
      </c>
      <c r="C22" s="4">
        <v>10</v>
      </c>
      <c r="D22" s="4">
        <v>1094</v>
      </c>
      <c r="E22" s="4">
        <v>1293</v>
      </c>
      <c r="F22" s="53">
        <f t="shared" si="3"/>
        <v>1.1819012797074955</v>
      </c>
      <c r="G22" s="4">
        <v>5</v>
      </c>
      <c r="H22" s="24">
        <f t="shared" si="4"/>
        <v>1.0606337599024984</v>
      </c>
      <c r="I22" s="49">
        <v>23908</v>
      </c>
      <c r="J22" s="19">
        <f t="shared" si="13"/>
        <v>13040.7</v>
      </c>
      <c r="K22" s="19">
        <f t="shared" si="14"/>
        <v>13831.4</v>
      </c>
      <c r="L22" s="19">
        <f t="shared" si="15"/>
        <v>790.69999999999891</v>
      </c>
      <c r="M22" s="19"/>
      <c r="N22" s="19">
        <f t="shared" si="16"/>
        <v>13831.4</v>
      </c>
      <c r="O22" s="19">
        <v>2173.5</v>
      </c>
      <c r="P22" s="19">
        <v>2173.3999999999996</v>
      </c>
      <c r="Q22" s="19"/>
      <c r="R22" s="19"/>
      <c r="S22" s="19">
        <v>2173.5</v>
      </c>
      <c r="T22" s="19">
        <v>2700.5</v>
      </c>
      <c r="U22" s="19">
        <v>2305.3000000000011</v>
      </c>
      <c r="V22" s="19">
        <f t="shared" si="17"/>
        <v>2305.1999999999989</v>
      </c>
      <c r="W22" s="43"/>
      <c r="X22" s="43"/>
      <c r="Y22" s="44"/>
      <c r="Z22" s="44"/>
      <c r="AA22" s="44"/>
      <c r="AB22" s="19">
        <f t="shared" si="18"/>
        <v>2305.1999999999989</v>
      </c>
      <c r="AC22" s="1"/>
      <c r="AD22" s="1"/>
      <c r="AE22" s="1"/>
      <c r="AF22" s="36"/>
      <c r="AG22" s="36"/>
      <c r="AH22" s="1"/>
      <c r="AI22" s="1"/>
    </row>
    <row r="23" spans="1:35" s="2" customFormat="1" ht="17.100000000000001" customHeight="1">
      <c r="A23" s="6" t="s">
        <v>20</v>
      </c>
      <c r="B23" s="4">
        <v>1</v>
      </c>
      <c r="C23" s="4">
        <v>10</v>
      </c>
      <c r="D23" s="4">
        <v>1626</v>
      </c>
      <c r="E23" s="4">
        <v>424</v>
      </c>
      <c r="F23" s="53">
        <f t="shared" si="3"/>
        <v>0.26076260762607628</v>
      </c>
      <c r="G23" s="4">
        <v>5</v>
      </c>
      <c r="H23" s="24">
        <f t="shared" si="4"/>
        <v>0.75358753587535887</v>
      </c>
      <c r="I23" s="49">
        <f>31503+5000</f>
        <v>36503</v>
      </c>
      <c r="J23" s="19">
        <f t="shared" si="13"/>
        <v>19910.7</v>
      </c>
      <c r="K23" s="19">
        <f t="shared" si="14"/>
        <v>15004.5</v>
      </c>
      <c r="L23" s="19">
        <f t="shared" si="15"/>
        <v>-4906.2000000000007</v>
      </c>
      <c r="M23" s="19"/>
      <c r="N23" s="19">
        <f t="shared" si="16"/>
        <v>15004.5</v>
      </c>
      <c r="O23" s="19">
        <v>2863.9</v>
      </c>
      <c r="P23" s="19">
        <v>2863.9</v>
      </c>
      <c r="Q23" s="19"/>
      <c r="R23" s="19"/>
      <c r="S23" s="19">
        <v>2863.9000000000005</v>
      </c>
      <c r="T23" s="19">
        <v>1411.2999999999993</v>
      </c>
      <c r="U23" s="19">
        <v>2500.7999999999993</v>
      </c>
      <c r="V23" s="19">
        <f t="shared" si="17"/>
        <v>2500.7000000000007</v>
      </c>
      <c r="W23" s="43"/>
      <c r="X23" s="43"/>
      <c r="Y23" s="44"/>
      <c r="Z23" s="44"/>
      <c r="AA23" s="44"/>
      <c r="AB23" s="19">
        <f t="shared" si="18"/>
        <v>2500.7000000000007</v>
      </c>
      <c r="AC23" s="1"/>
      <c r="AD23" s="1"/>
      <c r="AE23" s="1"/>
      <c r="AF23" s="36"/>
      <c r="AG23" s="36"/>
      <c r="AH23" s="1"/>
      <c r="AI23" s="1"/>
    </row>
    <row r="24" spans="1:35" s="2" customFormat="1" ht="17.100000000000001" customHeight="1">
      <c r="A24" s="6" t="s">
        <v>21</v>
      </c>
      <c r="B24" s="4">
        <v>1</v>
      </c>
      <c r="C24" s="4">
        <v>10</v>
      </c>
      <c r="D24" s="4">
        <v>862</v>
      </c>
      <c r="E24" s="4">
        <v>618</v>
      </c>
      <c r="F24" s="53">
        <f t="shared" si="3"/>
        <v>0.71693735498839906</v>
      </c>
      <c r="G24" s="4">
        <v>5</v>
      </c>
      <c r="H24" s="24">
        <f t="shared" si="4"/>
        <v>0.90564578499613313</v>
      </c>
      <c r="I24" s="49">
        <f>32714+5000</f>
        <v>37714</v>
      </c>
      <c r="J24" s="19">
        <f t="shared" si="13"/>
        <v>20571.3</v>
      </c>
      <c r="K24" s="19">
        <f t="shared" si="14"/>
        <v>18630.3</v>
      </c>
      <c r="L24" s="19">
        <f t="shared" si="15"/>
        <v>-1941</v>
      </c>
      <c r="M24" s="19"/>
      <c r="N24" s="19">
        <f t="shared" si="16"/>
        <v>18630.3</v>
      </c>
      <c r="O24" s="19">
        <v>2974</v>
      </c>
      <c r="P24" s="19">
        <v>2974</v>
      </c>
      <c r="Q24" s="19"/>
      <c r="R24" s="19"/>
      <c r="S24" s="19">
        <v>2974</v>
      </c>
      <c r="T24" s="19">
        <v>3498.2000000000007</v>
      </c>
      <c r="U24" s="19">
        <v>3105</v>
      </c>
      <c r="V24" s="19">
        <f t="shared" si="17"/>
        <v>3105.0999999999985</v>
      </c>
      <c r="W24" s="43"/>
      <c r="X24" s="43"/>
      <c r="Y24" s="44"/>
      <c r="Z24" s="44"/>
      <c r="AA24" s="44"/>
      <c r="AB24" s="19">
        <f t="shared" si="18"/>
        <v>3105.0999999999985</v>
      </c>
      <c r="AC24" s="1"/>
      <c r="AD24" s="1"/>
      <c r="AE24" s="1"/>
      <c r="AF24" s="36"/>
      <c r="AG24" s="36"/>
      <c r="AH24" s="1"/>
      <c r="AI24" s="1"/>
    </row>
    <row r="25" spans="1:35" s="2" customFormat="1" ht="17.100000000000001" customHeight="1">
      <c r="A25" s="6" t="s">
        <v>22</v>
      </c>
      <c r="B25" s="4">
        <v>1</v>
      </c>
      <c r="C25" s="4">
        <v>10</v>
      </c>
      <c r="D25" s="4">
        <v>2370</v>
      </c>
      <c r="E25" s="4">
        <v>909</v>
      </c>
      <c r="F25" s="53">
        <f t="shared" si="3"/>
        <v>0.38354430379746834</v>
      </c>
      <c r="G25" s="4">
        <v>5</v>
      </c>
      <c r="H25" s="24">
        <f t="shared" si="4"/>
        <v>0.79451476793248943</v>
      </c>
      <c r="I25" s="49">
        <v>36690</v>
      </c>
      <c r="J25" s="19">
        <f t="shared" si="13"/>
        <v>20012.7</v>
      </c>
      <c r="K25" s="19">
        <f t="shared" si="14"/>
        <v>15900.4</v>
      </c>
      <c r="L25" s="19">
        <f t="shared" si="15"/>
        <v>-4112.3000000000011</v>
      </c>
      <c r="M25" s="19"/>
      <c r="N25" s="19">
        <f t="shared" si="16"/>
        <v>15900.4</v>
      </c>
      <c r="O25" s="19">
        <v>3335.5</v>
      </c>
      <c r="P25" s="19">
        <v>3335.3999999999996</v>
      </c>
      <c r="Q25" s="19"/>
      <c r="R25" s="19"/>
      <c r="S25" s="19">
        <v>3335.5</v>
      </c>
      <c r="T25" s="19">
        <v>593.89999999999964</v>
      </c>
      <c r="U25" s="19">
        <v>2650.1000000000004</v>
      </c>
      <c r="V25" s="19">
        <f t="shared" si="17"/>
        <v>2650</v>
      </c>
      <c r="W25" s="44"/>
      <c r="X25" s="43"/>
      <c r="Y25" s="44"/>
      <c r="Z25" s="44"/>
      <c r="AA25" s="44"/>
      <c r="AB25" s="19">
        <f t="shared" si="18"/>
        <v>2650</v>
      </c>
      <c r="AC25" s="1"/>
      <c r="AD25" s="1"/>
      <c r="AE25" s="1"/>
      <c r="AF25" s="36"/>
      <c r="AG25" s="36"/>
      <c r="AH25" s="1"/>
      <c r="AI25" s="1"/>
    </row>
    <row r="26" spans="1:35" s="2" customFormat="1" ht="17.100000000000001" customHeight="1">
      <c r="A26" s="6" t="s">
        <v>23</v>
      </c>
      <c r="B26" s="4">
        <v>1</v>
      </c>
      <c r="C26" s="4">
        <v>10</v>
      </c>
      <c r="D26" s="4">
        <v>74943</v>
      </c>
      <c r="E26" s="4">
        <v>66704</v>
      </c>
      <c r="F26" s="53">
        <f t="shared" si="3"/>
        <v>0.8900631146337884</v>
      </c>
      <c r="G26" s="4">
        <v>5</v>
      </c>
      <c r="H26" s="24">
        <f t="shared" si="4"/>
        <v>0.96335437154459624</v>
      </c>
      <c r="I26" s="49">
        <v>38851</v>
      </c>
      <c r="J26" s="19">
        <f t="shared" si="13"/>
        <v>21191.5</v>
      </c>
      <c r="K26" s="19">
        <f t="shared" si="14"/>
        <v>20414.900000000001</v>
      </c>
      <c r="L26" s="19">
        <f t="shared" si="15"/>
        <v>-776.59999999999854</v>
      </c>
      <c r="M26" s="19">
        <v>1655</v>
      </c>
      <c r="N26" s="19">
        <f t="shared" si="16"/>
        <v>18759.900000000001</v>
      </c>
      <c r="O26" s="19">
        <v>3531.9</v>
      </c>
      <c r="P26" s="19">
        <v>3531.9</v>
      </c>
      <c r="Q26" s="19"/>
      <c r="R26" s="19"/>
      <c r="S26" s="19">
        <v>3531.9000000000005</v>
      </c>
      <c r="T26" s="19">
        <v>3014.1999999999989</v>
      </c>
      <c r="U26" s="19">
        <v>2575.0000000000018</v>
      </c>
      <c r="V26" s="19">
        <f t="shared" si="17"/>
        <v>2575</v>
      </c>
      <c r="W26" s="43"/>
      <c r="X26" s="43"/>
      <c r="Y26" s="44"/>
      <c r="Z26" s="44"/>
      <c r="AA26" s="44"/>
      <c r="AB26" s="19">
        <f t="shared" si="18"/>
        <v>2575</v>
      </c>
      <c r="AC26" s="1"/>
      <c r="AD26" s="1"/>
      <c r="AE26" s="1"/>
      <c r="AF26" s="36"/>
      <c r="AG26" s="36"/>
      <c r="AH26" s="1"/>
      <c r="AI26" s="1"/>
    </row>
    <row r="27" spans="1:35" s="2" customFormat="1" ht="16.5" customHeight="1">
      <c r="A27" s="6" t="s">
        <v>24</v>
      </c>
      <c r="B27" s="4">
        <v>1</v>
      </c>
      <c r="C27" s="4">
        <v>10</v>
      </c>
      <c r="D27" s="4">
        <v>714</v>
      </c>
      <c r="E27" s="4">
        <v>1012</v>
      </c>
      <c r="F27" s="53">
        <f t="shared" si="3"/>
        <v>1.2217366946778712</v>
      </c>
      <c r="G27" s="4">
        <v>5</v>
      </c>
      <c r="H27" s="24">
        <f t="shared" si="4"/>
        <v>1.0739122315592904</v>
      </c>
      <c r="I27" s="49">
        <v>15746</v>
      </c>
      <c r="J27" s="19">
        <f t="shared" si="13"/>
        <v>8588.7000000000007</v>
      </c>
      <c r="K27" s="19">
        <f t="shared" si="14"/>
        <v>9223.5</v>
      </c>
      <c r="L27" s="19">
        <f t="shared" si="15"/>
        <v>634.79999999999927</v>
      </c>
      <c r="M27" s="19"/>
      <c r="N27" s="19">
        <f t="shared" si="16"/>
        <v>9223.5</v>
      </c>
      <c r="O27" s="19">
        <v>1431.5</v>
      </c>
      <c r="P27" s="19">
        <v>1431.4</v>
      </c>
      <c r="Q27" s="19"/>
      <c r="R27" s="19"/>
      <c r="S27" s="19">
        <v>1431.4999999999995</v>
      </c>
      <c r="T27" s="19">
        <v>1854.6000000000004</v>
      </c>
      <c r="U27" s="19">
        <v>1537.3000000000002</v>
      </c>
      <c r="V27" s="19">
        <f t="shared" si="17"/>
        <v>1537.1999999999998</v>
      </c>
      <c r="W27" s="43"/>
      <c r="X27" s="43"/>
      <c r="Y27" s="44"/>
      <c r="Z27" s="44"/>
      <c r="AA27" s="44"/>
      <c r="AB27" s="19">
        <f t="shared" si="18"/>
        <v>1537.1999999999998</v>
      </c>
      <c r="AC27" s="1"/>
      <c r="AD27" s="1"/>
      <c r="AE27" s="1"/>
      <c r="AF27" s="36"/>
      <c r="AG27" s="36"/>
      <c r="AH27" s="1"/>
      <c r="AI27" s="1"/>
    </row>
    <row r="28" spans="1:35" s="2" customFormat="1" ht="17.100000000000001" customHeight="1">
      <c r="A28" s="6" t="s">
        <v>25</v>
      </c>
      <c r="B28" s="4">
        <v>1</v>
      </c>
      <c r="C28" s="4">
        <v>10</v>
      </c>
      <c r="D28" s="4">
        <v>912</v>
      </c>
      <c r="E28" s="4">
        <v>285</v>
      </c>
      <c r="F28" s="53">
        <f t="shared" si="3"/>
        <v>0.3125</v>
      </c>
      <c r="G28" s="4">
        <v>5</v>
      </c>
      <c r="H28" s="24">
        <f t="shared" si="4"/>
        <v>0.77083333333333337</v>
      </c>
      <c r="I28" s="49">
        <v>21803</v>
      </c>
      <c r="J28" s="19">
        <f t="shared" si="13"/>
        <v>11892.5</v>
      </c>
      <c r="K28" s="19">
        <f t="shared" si="14"/>
        <v>9167.1</v>
      </c>
      <c r="L28" s="19">
        <f t="shared" si="15"/>
        <v>-2725.3999999999996</v>
      </c>
      <c r="M28" s="19"/>
      <c r="N28" s="19">
        <f t="shared" si="16"/>
        <v>9167.1</v>
      </c>
      <c r="O28" s="19">
        <v>1982.1</v>
      </c>
      <c r="P28" s="19">
        <v>1982.1</v>
      </c>
      <c r="Q28" s="19"/>
      <c r="R28" s="19"/>
      <c r="S28" s="19">
        <v>1982.1000000000004</v>
      </c>
      <c r="T28" s="19">
        <v>165.19999999999982</v>
      </c>
      <c r="U28" s="19">
        <v>1527.8000000000002</v>
      </c>
      <c r="V28" s="19">
        <f t="shared" si="17"/>
        <v>1527.8000000000002</v>
      </c>
      <c r="W28" s="43"/>
      <c r="X28" s="43"/>
      <c r="Y28" s="44"/>
      <c r="Z28" s="44"/>
      <c r="AA28" s="44"/>
      <c r="AB28" s="19">
        <f t="shared" si="18"/>
        <v>1527.8000000000002</v>
      </c>
      <c r="AC28" s="1"/>
      <c r="AD28" s="1"/>
      <c r="AE28" s="1"/>
      <c r="AF28" s="36"/>
      <c r="AG28" s="36"/>
      <c r="AH28" s="1"/>
      <c r="AI28" s="1"/>
    </row>
    <row r="29" spans="1:35" s="2" customFormat="1" ht="17.100000000000001" customHeight="1">
      <c r="A29" s="6" t="s">
        <v>26</v>
      </c>
      <c r="B29" s="4">
        <v>1</v>
      </c>
      <c r="C29" s="4">
        <v>10</v>
      </c>
      <c r="D29" s="4">
        <v>376</v>
      </c>
      <c r="E29" s="4">
        <v>728</v>
      </c>
      <c r="F29" s="53">
        <f t="shared" si="3"/>
        <v>1.2736170212765958</v>
      </c>
      <c r="G29" s="4">
        <v>5</v>
      </c>
      <c r="H29" s="24">
        <f t="shared" si="4"/>
        <v>1.0912056737588651</v>
      </c>
      <c r="I29" s="49">
        <v>24597</v>
      </c>
      <c r="J29" s="19">
        <f t="shared" si="13"/>
        <v>13416.5</v>
      </c>
      <c r="K29" s="19">
        <f t="shared" si="14"/>
        <v>14640.2</v>
      </c>
      <c r="L29" s="19">
        <f t="shared" si="15"/>
        <v>1223.7000000000007</v>
      </c>
      <c r="M29" s="19"/>
      <c r="N29" s="19">
        <f t="shared" si="16"/>
        <v>14640.2</v>
      </c>
      <c r="O29" s="19">
        <v>2236.1</v>
      </c>
      <c r="P29" s="19">
        <v>2236.1</v>
      </c>
      <c r="Q29" s="19"/>
      <c r="R29" s="19"/>
      <c r="S29" s="19">
        <v>2236.1000000000004</v>
      </c>
      <c r="T29" s="19">
        <v>3051.9000000000005</v>
      </c>
      <c r="U29" s="19">
        <v>2440</v>
      </c>
      <c r="V29" s="19">
        <f t="shared" si="17"/>
        <v>2440</v>
      </c>
      <c r="W29" s="44"/>
      <c r="X29" s="43"/>
      <c r="Y29" s="44"/>
      <c r="Z29" s="44"/>
      <c r="AA29" s="44"/>
      <c r="AB29" s="19">
        <f t="shared" si="18"/>
        <v>2440</v>
      </c>
      <c r="AC29" s="1"/>
      <c r="AD29" s="1"/>
      <c r="AE29" s="1"/>
      <c r="AF29" s="36"/>
      <c r="AG29" s="36"/>
      <c r="AH29" s="1"/>
      <c r="AI29" s="1"/>
    </row>
    <row r="30" spans="1:35" s="2" customFormat="1" ht="17.100000000000001" customHeight="1">
      <c r="A30" s="6" t="s">
        <v>27</v>
      </c>
      <c r="B30" s="4">
        <v>1</v>
      </c>
      <c r="C30" s="4">
        <v>10</v>
      </c>
      <c r="D30" s="4">
        <v>10444</v>
      </c>
      <c r="E30" s="4">
        <v>10398</v>
      </c>
      <c r="F30" s="53">
        <f t="shared" si="3"/>
        <v>0.99559555725775561</v>
      </c>
      <c r="G30" s="4">
        <v>5</v>
      </c>
      <c r="H30" s="24">
        <f t="shared" si="4"/>
        <v>0.99853185241925191</v>
      </c>
      <c r="I30" s="49">
        <v>25192</v>
      </c>
      <c r="J30" s="19">
        <f t="shared" si="13"/>
        <v>13741.1</v>
      </c>
      <c r="K30" s="19">
        <f t="shared" si="14"/>
        <v>13720.9</v>
      </c>
      <c r="L30" s="19">
        <f t="shared" si="15"/>
        <v>-20.200000000000728</v>
      </c>
      <c r="M30" s="19"/>
      <c r="N30" s="19">
        <f t="shared" si="16"/>
        <v>13720.9</v>
      </c>
      <c r="O30" s="19">
        <v>2290.1999999999998</v>
      </c>
      <c r="P30" s="19">
        <v>2290.1999999999998</v>
      </c>
      <c r="Q30" s="19"/>
      <c r="R30" s="19"/>
      <c r="S30" s="19">
        <v>2290.1000000000004</v>
      </c>
      <c r="T30" s="19">
        <v>2276.7999999999993</v>
      </c>
      <c r="U30" s="19">
        <v>2286.8000000000011</v>
      </c>
      <c r="V30" s="19">
        <f t="shared" si="17"/>
        <v>2286.7999999999993</v>
      </c>
      <c r="W30" s="43"/>
      <c r="X30" s="43"/>
      <c r="Y30" s="44"/>
      <c r="Z30" s="44"/>
      <c r="AA30" s="44"/>
      <c r="AB30" s="19">
        <f t="shared" si="18"/>
        <v>2286.7999999999993</v>
      </c>
      <c r="AC30" s="1"/>
      <c r="AD30" s="1"/>
      <c r="AE30" s="1"/>
      <c r="AF30" s="36"/>
      <c r="AG30" s="36"/>
      <c r="AH30" s="1"/>
      <c r="AI30" s="1"/>
    </row>
    <row r="31" spans="1:35" s="2" customFormat="1" ht="16.5" customHeight="1">
      <c r="A31" s="6" t="s">
        <v>28</v>
      </c>
      <c r="B31" s="4">
        <v>1</v>
      </c>
      <c r="C31" s="4">
        <v>10</v>
      </c>
      <c r="D31" s="4">
        <v>3528</v>
      </c>
      <c r="E31" s="4">
        <v>4400</v>
      </c>
      <c r="F31" s="53">
        <f t="shared" si="3"/>
        <v>1.2047165532879818</v>
      </c>
      <c r="G31" s="4">
        <v>5</v>
      </c>
      <c r="H31" s="24">
        <f t="shared" si="4"/>
        <v>1.0682388510959939</v>
      </c>
      <c r="I31" s="49">
        <f>47391+2420</f>
        <v>49811</v>
      </c>
      <c r="J31" s="19">
        <f t="shared" si="13"/>
        <v>27169.599999999999</v>
      </c>
      <c r="K31" s="19">
        <f t="shared" si="14"/>
        <v>29023.599999999999</v>
      </c>
      <c r="L31" s="19">
        <f t="shared" si="15"/>
        <v>1854</v>
      </c>
      <c r="M31" s="19"/>
      <c r="N31" s="19">
        <f t="shared" si="16"/>
        <v>29023.599999999999</v>
      </c>
      <c r="O31" s="19">
        <v>4308.3</v>
      </c>
      <c r="P31" s="19">
        <v>4308.2</v>
      </c>
      <c r="Q31" s="19"/>
      <c r="R31" s="19"/>
      <c r="S31" s="19">
        <v>4308.2999999999993</v>
      </c>
      <c r="T31" s="19">
        <v>6424.2999999999993</v>
      </c>
      <c r="U31" s="19">
        <v>4837.3000000000029</v>
      </c>
      <c r="V31" s="19">
        <f t="shared" si="17"/>
        <v>4837.1999999999971</v>
      </c>
      <c r="W31" s="44"/>
      <c r="X31" s="43"/>
      <c r="Y31" s="44"/>
      <c r="Z31" s="44"/>
      <c r="AA31" s="44"/>
      <c r="AB31" s="19">
        <f t="shared" si="18"/>
        <v>4837.1999999999971</v>
      </c>
      <c r="AC31" s="1"/>
      <c r="AD31" s="1"/>
      <c r="AE31" s="1"/>
      <c r="AF31" s="36"/>
      <c r="AG31" s="36"/>
      <c r="AH31" s="1"/>
      <c r="AI31" s="1"/>
    </row>
    <row r="32" spans="1:35" s="2" customFormat="1" ht="17.100000000000001" customHeight="1">
      <c r="A32" s="6" t="s">
        <v>29</v>
      </c>
      <c r="B32" s="4">
        <v>1</v>
      </c>
      <c r="C32" s="4">
        <v>10</v>
      </c>
      <c r="D32" s="4">
        <v>473</v>
      </c>
      <c r="E32" s="4">
        <v>68</v>
      </c>
      <c r="F32" s="53">
        <f t="shared" si="3"/>
        <v>0.14376321353065538</v>
      </c>
      <c r="G32" s="4">
        <v>5</v>
      </c>
      <c r="H32" s="24">
        <f t="shared" si="4"/>
        <v>0.71458773784355178</v>
      </c>
      <c r="I32" s="49">
        <v>27466</v>
      </c>
      <c r="J32" s="19">
        <f t="shared" si="13"/>
        <v>14981.5</v>
      </c>
      <c r="K32" s="19">
        <f t="shared" si="14"/>
        <v>10705.6</v>
      </c>
      <c r="L32" s="19">
        <f t="shared" si="15"/>
        <v>-4275.8999999999996</v>
      </c>
      <c r="M32" s="19"/>
      <c r="N32" s="19">
        <f t="shared" si="16"/>
        <v>10705.6</v>
      </c>
      <c r="O32" s="19">
        <v>2496.9</v>
      </c>
      <c r="P32" s="19">
        <v>2496.9</v>
      </c>
      <c r="Q32" s="19"/>
      <c r="R32" s="19"/>
      <c r="S32" s="19">
        <v>2496.8999999999996</v>
      </c>
      <c r="T32" s="19">
        <v>0</v>
      </c>
      <c r="U32" s="19">
        <v>1430.5999999999995</v>
      </c>
      <c r="V32" s="19">
        <f t="shared" si="17"/>
        <v>1784.3000000000011</v>
      </c>
      <c r="W32" s="44"/>
      <c r="X32" s="43"/>
      <c r="Y32" s="44"/>
      <c r="Z32" s="44"/>
      <c r="AA32" s="44"/>
      <c r="AB32" s="19">
        <f t="shared" si="18"/>
        <v>1784.3000000000011</v>
      </c>
      <c r="AC32" s="1"/>
      <c r="AD32" s="1"/>
      <c r="AE32" s="1"/>
      <c r="AF32" s="36"/>
      <c r="AG32" s="36"/>
    </row>
    <row r="33" spans="1:35" s="2" customFormat="1" ht="17.100000000000001" customHeight="1">
      <c r="A33" s="6" t="s">
        <v>30</v>
      </c>
      <c r="B33" s="4">
        <v>1</v>
      </c>
      <c r="C33" s="4">
        <v>10</v>
      </c>
      <c r="D33" s="4">
        <v>1153</v>
      </c>
      <c r="E33" s="4">
        <v>916</v>
      </c>
      <c r="F33" s="53">
        <f t="shared" si="3"/>
        <v>0.79444926279271466</v>
      </c>
      <c r="G33" s="4">
        <v>5</v>
      </c>
      <c r="H33" s="24">
        <f t="shared" si="4"/>
        <v>0.93148308759757159</v>
      </c>
      <c r="I33" s="49">
        <v>36426</v>
      </c>
      <c r="J33" s="19">
        <f t="shared" si="13"/>
        <v>19868.7</v>
      </c>
      <c r="K33" s="19">
        <f t="shared" si="14"/>
        <v>18507.400000000001</v>
      </c>
      <c r="L33" s="19">
        <f t="shared" si="15"/>
        <v>-1361.2999999999993</v>
      </c>
      <c r="M33" s="19">
        <v>1393.6</v>
      </c>
      <c r="N33" s="19">
        <f t="shared" si="16"/>
        <v>17113.800000000003</v>
      </c>
      <c r="O33" s="19">
        <v>3311.5</v>
      </c>
      <c r="P33" s="19">
        <v>3311.3999999999996</v>
      </c>
      <c r="Q33" s="19"/>
      <c r="R33" s="19"/>
      <c r="S33" s="19">
        <v>3311.5</v>
      </c>
      <c r="T33" s="19">
        <v>2403.8000000000011</v>
      </c>
      <c r="U33" s="19">
        <v>2387.7999999999993</v>
      </c>
      <c r="V33" s="19">
        <f t="shared" si="17"/>
        <v>2387.8000000000029</v>
      </c>
      <c r="W33" s="43"/>
      <c r="X33" s="43"/>
      <c r="Y33" s="44"/>
      <c r="Z33" s="44"/>
      <c r="AA33" s="44"/>
      <c r="AB33" s="19">
        <f t="shared" si="18"/>
        <v>2387.8000000000029</v>
      </c>
      <c r="AC33" s="1"/>
      <c r="AD33" s="1"/>
      <c r="AE33" s="1"/>
      <c r="AF33" s="36"/>
      <c r="AG33" s="36"/>
      <c r="AH33" s="1"/>
      <c r="AI33" s="1"/>
    </row>
    <row r="34" spans="1:35" s="2" customFormat="1" ht="17.100000000000001" customHeight="1">
      <c r="A34" s="6" t="s">
        <v>31</v>
      </c>
      <c r="B34" s="4">
        <v>1</v>
      </c>
      <c r="C34" s="4">
        <v>10</v>
      </c>
      <c r="D34" s="4">
        <v>1740</v>
      </c>
      <c r="E34" s="4">
        <v>1726</v>
      </c>
      <c r="F34" s="53">
        <f t="shared" si="3"/>
        <v>0.99195402298850577</v>
      </c>
      <c r="G34" s="4">
        <v>5</v>
      </c>
      <c r="H34" s="24">
        <f t="shared" si="4"/>
        <v>0.99731800766283529</v>
      </c>
      <c r="I34" s="49">
        <v>33052</v>
      </c>
      <c r="J34" s="19">
        <f t="shared" si="13"/>
        <v>18028.400000000001</v>
      </c>
      <c r="K34" s="19">
        <f t="shared" si="14"/>
        <v>17980</v>
      </c>
      <c r="L34" s="19">
        <f t="shared" si="15"/>
        <v>-48.400000000001455</v>
      </c>
      <c r="M34" s="19">
        <v>612.20000000000005</v>
      </c>
      <c r="N34" s="19">
        <f t="shared" si="16"/>
        <v>17367.8</v>
      </c>
      <c r="O34" s="19">
        <v>3004.7</v>
      </c>
      <c r="P34" s="19">
        <v>3004.8</v>
      </c>
      <c r="Q34" s="19"/>
      <c r="R34" s="19"/>
      <c r="S34" s="19">
        <v>3004.7000000000007</v>
      </c>
      <c r="T34" s="19">
        <v>2972.5</v>
      </c>
      <c r="U34" s="19">
        <v>2690.4999999999982</v>
      </c>
      <c r="V34" s="19">
        <f t="shared" si="17"/>
        <v>2690.6000000000004</v>
      </c>
      <c r="W34" s="43"/>
      <c r="X34" s="43"/>
      <c r="Y34" s="44"/>
      <c r="Z34" s="44"/>
      <c r="AA34" s="44"/>
      <c r="AB34" s="19">
        <f t="shared" si="18"/>
        <v>2690.6000000000004</v>
      </c>
      <c r="AC34" s="1"/>
      <c r="AD34" s="1"/>
      <c r="AE34" s="1"/>
      <c r="AF34" s="36"/>
      <c r="AG34" s="36"/>
    </row>
    <row r="35" spans="1:35" s="2" customFormat="1" ht="17.100000000000001" customHeight="1">
      <c r="A35" s="6" t="s">
        <v>1</v>
      </c>
      <c r="B35" s="4">
        <v>1</v>
      </c>
      <c r="C35" s="4">
        <v>10</v>
      </c>
      <c r="D35" s="4">
        <v>39757</v>
      </c>
      <c r="E35" s="4">
        <v>54000</v>
      </c>
      <c r="F35" s="53">
        <f t="shared" si="3"/>
        <v>1.2158251377115978</v>
      </c>
      <c r="G35" s="4">
        <v>5</v>
      </c>
      <c r="H35" s="24">
        <f t="shared" si="4"/>
        <v>1.0719417125705324</v>
      </c>
      <c r="I35" s="49">
        <v>36930</v>
      </c>
      <c r="J35" s="19">
        <f t="shared" si="13"/>
        <v>20143.599999999999</v>
      </c>
      <c r="K35" s="19">
        <f t="shared" si="14"/>
        <v>21592.799999999999</v>
      </c>
      <c r="L35" s="19">
        <f t="shared" si="15"/>
        <v>1449.2000000000007</v>
      </c>
      <c r="M35" s="19">
        <v>640</v>
      </c>
      <c r="N35" s="19">
        <f t="shared" si="16"/>
        <v>20952.8</v>
      </c>
      <c r="O35" s="19">
        <v>3357.3</v>
      </c>
      <c r="P35" s="19">
        <v>3357.2</v>
      </c>
      <c r="Q35" s="19"/>
      <c r="R35" s="19"/>
      <c r="S35" s="19">
        <v>3357.2999999999993</v>
      </c>
      <c r="T35" s="19">
        <v>4323.4000000000015</v>
      </c>
      <c r="U35" s="19">
        <v>3278.7999999999993</v>
      </c>
      <c r="V35" s="19">
        <f t="shared" si="17"/>
        <v>3278.7999999999993</v>
      </c>
      <c r="W35" s="43"/>
      <c r="X35" s="43"/>
      <c r="Y35" s="44"/>
      <c r="Z35" s="44"/>
      <c r="AA35" s="44"/>
      <c r="AB35" s="19">
        <f t="shared" si="18"/>
        <v>3278.7999999999993</v>
      </c>
      <c r="AC35" s="1"/>
      <c r="AD35" s="1"/>
      <c r="AE35" s="1"/>
      <c r="AF35" s="36"/>
      <c r="AG35" s="36"/>
      <c r="AH35" s="1"/>
      <c r="AI35" s="1"/>
    </row>
    <row r="36" spans="1:35" s="2" customFormat="1" ht="17.100000000000001" customHeight="1">
      <c r="A36" s="6" t="s">
        <v>32</v>
      </c>
      <c r="B36" s="4">
        <v>1</v>
      </c>
      <c r="C36" s="4">
        <v>10</v>
      </c>
      <c r="D36" s="4">
        <v>1740</v>
      </c>
      <c r="E36" s="4">
        <v>543</v>
      </c>
      <c r="F36" s="53">
        <f t="shared" si="3"/>
        <v>0.31206896551724139</v>
      </c>
      <c r="G36" s="4">
        <v>5</v>
      </c>
      <c r="H36" s="24">
        <f t="shared" si="4"/>
        <v>0.77068965517241372</v>
      </c>
      <c r="I36" s="49">
        <v>29900</v>
      </c>
      <c r="J36" s="19">
        <f t="shared" si="13"/>
        <v>16309.1</v>
      </c>
      <c r="K36" s="19">
        <f t="shared" si="14"/>
        <v>12569.3</v>
      </c>
      <c r="L36" s="19">
        <f t="shared" si="15"/>
        <v>-3739.8000000000011</v>
      </c>
      <c r="M36" s="19">
        <v>1078.8</v>
      </c>
      <c r="N36" s="19">
        <f t="shared" si="16"/>
        <v>11490.5</v>
      </c>
      <c r="O36" s="19">
        <v>2718.2</v>
      </c>
      <c r="P36" s="19">
        <v>2718.2</v>
      </c>
      <c r="Q36" s="19"/>
      <c r="R36" s="19"/>
      <c r="S36" s="19">
        <v>2718.1000000000004</v>
      </c>
      <c r="T36" s="19">
        <v>225</v>
      </c>
      <c r="U36" s="19">
        <v>1555.5</v>
      </c>
      <c r="V36" s="19">
        <f t="shared" si="17"/>
        <v>1555.5</v>
      </c>
      <c r="W36" s="43"/>
      <c r="X36" s="43"/>
      <c r="Y36" s="44"/>
      <c r="Z36" s="44"/>
      <c r="AA36" s="44"/>
      <c r="AB36" s="19">
        <f t="shared" si="18"/>
        <v>1555.5</v>
      </c>
      <c r="AC36" s="1"/>
      <c r="AD36" s="1"/>
      <c r="AE36" s="1"/>
      <c r="AF36" s="36"/>
      <c r="AG36" s="36"/>
      <c r="AH36" s="1"/>
      <c r="AI36" s="1"/>
    </row>
    <row r="37" spans="1:35" s="2" customFormat="1" ht="17.100000000000001" customHeight="1">
      <c r="A37" s="6" t="s">
        <v>33</v>
      </c>
      <c r="B37" s="4">
        <v>1</v>
      </c>
      <c r="C37" s="4">
        <v>10</v>
      </c>
      <c r="D37" s="4">
        <v>684</v>
      </c>
      <c r="E37" s="4">
        <v>384</v>
      </c>
      <c r="F37" s="53">
        <f t="shared" si="3"/>
        <v>0.56140350877192979</v>
      </c>
      <c r="G37" s="4">
        <v>5</v>
      </c>
      <c r="H37" s="24">
        <f t="shared" si="4"/>
        <v>0.85380116959064323</v>
      </c>
      <c r="I37" s="49">
        <v>10390</v>
      </c>
      <c r="J37" s="19">
        <f t="shared" si="13"/>
        <v>5667.3</v>
      </c>
      <c r="K37" s="19">
        <f t="shared" si="14"/>
        <v>4838.7</v>
      </c>
      <c r="L37" s="19">
        <f t="shared" si="15"/>
        <v>-828.60000000000036</v>
      </c>
      <c r="M37" s="19">
        <v>3651</v>
      </c>
      <c r="N37" s="19">
        <f t="shared" si="16"/>
        <v>1187.6999999999998</v>
      </c>
      <c r="O37" s="19">
        <v>944.5</v>
      </c>
      <c r="P37" s="19">
        <v>944.59999999999991</v>
      </c>
      <c r="Q37" s="19"/>
      <c r="R37" s="19"/>
      <c r="S37" s="19">
        <v>944.5</v>
      </c>
      <c r="T37" s="19">
        <v>392.20000000000027</v>
      </c>
      <c r="U37" s="19">
        <v>0</v>
      </c>
      <c r="V37" s="19">
        <f t="shared" si="17"/>
        <v>-2038.1000000000004</v>
      </c>
      <c r="W37" s="43"/>
      <c r="X37" s="43"/>
      <c r="Y37" s="44"/>
      <c r="Z37" s="44"/>
      <c r="AA37" s="44"/>
      <c r="AB37" s="19">
        <f t="shared" si="18"/>
        <v>0</v>
      </c>
      <c r="AC37" s="1"/>
      <c r="AD37" s="1"/>
      <c r="AE37" s="1"/>
      <c r="AF37" s="36"/>
      <c r="AG37" s="36"/>
      <c r="AH37" s="1"/>
      <c r="AI37" s="1"/>
    </row>
    <row r="38" spans="1:35" s="2" customFormat="1" ht="17.100000000000001" customHeight="1">
      <c r="A38" s="6" t="s">
        <v>34</v>
      </c>
      <c r="B38" s="4">
        <v>1</v>
      </c>
      <c r="C38" s="4">
        <v>10</v>
      </c>
      <c r="D38" s="4">
        <v>2220</v>
      </c>
      <c r="E38" s="4">
        <v>1091</v>
      </c>
      <c r="F38" s="53">
        <f t="shared" si="3"/>
        <v>0.49144144144144142</v>
      </c>
      <c r="G38" s="4">
        <v>5</v>
      </c>
      <c r="H38" s="24">
        <f t="shared" si="4"/>
        <v>0.83048048048048051</v>
      </c>
      <c r="I38" s="49">
        <v>55220</v>
      </c>
      <c r="J38" s="19">
        <f t="shared" si="13"/>
        <v>30120</v>
      </c>
      <c r="K38" s="19">
        <f t="shared" si="14"/>
        <v>25014.1</v>
      </c>
      <c r="L38" s="19">
        <f t="shared" si="15"/>
        <v>-5105.9000000000015</v>
      </c>
      <c r="M38" s="19"/>
      <c r="N38" s="19">
        <f t="shared" si="16"/>
        <v>25014.1</v>
      </c>
      <c r="O38" s="19">
        <v>5020</v>
      </c>
      <c r="P38" s="19">
        <v>5020</v>
      </c>
      <c r="Q38" s="19"/>
      <c r="R38" s="19"/>
      <c r="S38" s="19">
        <v>5020</v>
      </c>
      <c r="T38" s="19">
        <v>1616</v>
      </c>
      <c r="U38" s="19">
        <v>4169.0999999999985</v>
      </c>
      <c r="V38" s="19">
        <f t="shared" si="17"/>
        <v>4169</v>
      </c>
      <c r="W38" s="44"/>
      <c r="X38" s="43"/>
      <c r="Y38" s="44"/>
      <c r="Z38" s="44"/>
      <c r="AA38" s="44"/>
      <c r="AB38" s="19">
        <f t="shared" si="18"/>
        <v>4169</v>
      </c>
      <c r="AC38" s="1"/>
      <c r="AD38" s="1"/>
      <c r="AE38" s="1"/>
      <c r="AF38" s="36"/>
      <c r="AG38" s="36"/>
      <c r="AH38" s="1"/>
      <c r="AI38" s="1"/>
    </row>
    <row r="39" spans="1:35" s="2" customFormat="1" ht="17.100000000000001" customHeight="1">
      <c r="A39" s="6" t="s">
        <v>35</v>
      </c>
      <c r="B39" s="4">
        <v>1</v>
      </c>
      <c r="C39" s="4">
        <v>10</v>
      </c>
      <c r="D39" s="4">
        <v>1136</v>
      </c>
      <c r="E39" s="4">
        <v>1505</v>
      </c>
      <c r="F39" s="53">
        <f t="shared" si="3"/>
        <v>1.2124823943661971</v>
      </c>
      <c r="G39" s="4">
        <v>5</v>
      </c>
      <c r="H39" s="24">
        <f t="shared" si="4"/>
        <v>1.0708274647887324</v>
      </c>
      <c r="I39" s="49">
        <v>36148</v>
      </c>
      <c r="J39" s="19">
        <f t="shared" si="13"/>
        <v>19717.099999999999</v>
      </c>
      <c r="K39" s="19">
        <f t="shared" si="14"/>
        <v>21113.599999999999</v>
      </c>
      <c r="L39" s="19">
        <f t="shared" si="15"/>
        <v>1396.5</v>
      </c>
      <c r="M39" s="19"/>
      <c r="N39" s="19">
        <f t="shared" si="16"/>
        <v>21113.599999999999</v>
      </c>
      <c r="O39" s="19">
        <v>3286.2</v>
      </c>
      <c r="P39" s="19">
        <v>3286.2</v>
      </c>
      <c r="Q39" s="19"/>
      <c r="R39" s="19"/>
      <c r="S39" s="19">
        <v>3286.1000000000004</v>
      </c>
      <c r="T39" s="19">
        <v>4217.2000000000007</v>
      </c>
      <c r="U39" s="19">
        <v>3519</v>
      </c>
      <c r="V39" s="19">
        <f t="shared" si="17"/>
        <v>3518.8999999999978</v>
      </c>
      <c r="W39" s="44"/>
      <c r="X39" s="43"/>
      <c r="Y39" s="44"/>
      <c r="Z39" s="44"/>
      <c r="AA39" s="44"/>
      <c r="AB39" s="19">
        <f t="shared" si="18"/>
        <v>3518.8999999999978</v>
      </c>
      <c r="AC39" s="1"/>
      <c r="AD39" s="1"/>
      <c r="AE39" s="1"/>
      <c r="AF39" s="36"/>
      <c r="AG39" s="36"/>
      <c r="AH39" s="1"/>
      <c r="AI39" s="1"/>
    </row>
    <row r="40" spans="1:35" s="2" customFormat="1" ht="17.100000000000001" customHeight="1">
      <c r="A40" s="6" t="s">
        <v>36</v>
      </c>
      <c r="B40" s="4">
        <v>1</v>
      </c>
      <c r="C40" s="4">
        <v>10</v>
      </c>
      <c r="D40" s="4">
        <v>4090</v>
      </c>
      <c r="E40" s="4">
        <v>3805</v>
      </c>
      <c r="F40" s="53">
        <f t="shared" si="3"/>
        <v>0.93031784841075793</v>
      </c>
      <c r="G40" s="4">
        <v>5</v>
      </c>
      <c r="H40" s="24">
        <f t="shared" si="4"/>
        <v>0.97677261613691935</v>
      </c>
      <c r="I40" s="49">
        <v>50028</v>
      </c>
      <c r="J40" s="19">
        <f t="shared" si="13"/>
        <v>27288</v>
      </c>
      <c r="K40" s="19">
        <f t="shared" si="14"/>
        <v>26654.2</v>
      </c>
      <c r="L40" s="19">
        <f t="shared" si="15"/>
        <v>-633.79999999999927</v>
      </c>
      <c r="M40" s="19">
        <v>1969.6</v>
      </c>
      <c r="N40" s="19">
        <f t="shared" si="16"/>
        <v>24684.600000000002</v>
      </c>
      <c r="O40" s="19">
        <v>4548</v>
      </c>
      <c r="P40" s="19">
        <v>4548</v>
      </c>
      <c r="Q40" s="19">
        <v>10000</v>
      </c>
      <c r="R40" s="19"/>
      <c r="S40" s="19">
        <v>0</v>
      </c>
      <c r="T40" s="19">
        <v>0</v>
      </c>
      <c r="U40" s="19">
        <v>2131</v>
      </c>
      <c r="V40" s="19">
        <f t="shared" si="17"/>
        <v>3457.6000000000022</v>
      </c>
      <c r="W40" s="43"/>
      <c r="X40" s="43"/>
      <c r="Y40" s="44"/>
      <c r="Z40" s="44"/>
      <c r="AA40" s="44"/>
      <c r="AB40" s="19">
        <f t="shared" si="18"/>
        <v>3457.6000000000022</v>
      </c>
      <c r="AC40" s="1"/>
      <c r="AD40" s="1"/>
      <c r="AE40" s="1"/>
      <c r="AF40" s="36"/>
      <c r="AG40" s="36"/>
      <c r="AH40" s="1"/>
      <c r="AI40" s="1"/>
    </row>
    <row r="41" spans="1:35" s="2" customFormat="1" ht="17.100000000000001" customHeight="1">
      <c r="A41" s="6" t="s">
        <v>37</v>
      </c>
      <c r="B41" s="4">
        <v>1</v>
      </c>
      <c r="C41" s="4">
        <v>10</v>
      </c>
      <c r="D41" s="4">
        <v>60130</v>
      </c>
      <c r="E41" s="4">
        <v>85556</v>
      </c>
      <c r="F41" s="53">
        <f t="shared" si="3"/>
        <v>1.2222850490603692</v>
      </c>
      <c r="G41" s="4">
        <v>5</v>
      </c>
      <c r="H41" s="24">
        <f t="shared" si="4"/>
        <v>1.0740950163534564</v>
      </c>
      <c r="I41" s="49">
        <v>71174</v>
      </c>
      <c r="J41" s="19">
        <f t="shared" si="13"/>
        <v>38822.199999999997</v>
      </c>
      <c r="K41" s="19">
        <f t="shared" si="14"/>
        <v>41698.699999999997</v>
      </c>
      <c r="L41" s="19">
        <f t="shared" si="15"/>
        <v>2876.5</v>
      </c>
      <c r="M41" s="19"/>
      <c r="N41" s="19">
        <f t="shared" si="16"/>
        <v>41698.699999999997</v>
      </c>
      <c r="O41" s="19">
        <v>6470.4</v>
      </c>
      <c r="P41" s="19">
        <v>6470.3000000000011</v>
      </c>
      <c r="Q41" s="19"/>
      <c r="R41" s="19"/>
      <c r="S41" s="19">
        <v>6470.3999999999978</v>
      </c>
      <c r="T41" s="19">
        <v>8388.1000000000022</v>
      </c>
      <c r="U41" s="19">
        <v>6949.7000000000007</v>
      </c>
      <c r="V41" s="19">
        <f t="shared" si="17"/>
        <v>6949.7999999999956</v>
      </c>
      <c r="W41" s="43"/>
      <c r="X41" s="43"/>
      <c r="Y41" s="44"/>
      <c r="Z41" s="44"/>
      <c r="AA41" s="44"/>
      <c r="AB41" s="19">
        <f t="shared" si="18"/>
        <v>6949.7999999999956</v>
      </c>
      <c r="AC41" s="1"/>
      <c r="AD41" s="1"/>
      <c r="AE41" s="1"/>
      <c r="AF41" s="36"/>
      <c r="AG41" s="36"/>
      <c r="AH41" s="1"/>
      <c r="AI41" s="1"/>
    </row>
    <row r="42" spans="1:35" s="2" customFormat="1" ht="17.100000000000001" customHeight="1">
      <c r="A42" s="6" t="s">
        <v>38</v>
      </c>
      <c r="B42" s="4">
        <v>1</v>
      </c>
      <c r="C42" s="4">
        <v>10</v>
      </c>
      <c r="D42" s="4">
        <v>4875</v>
      </c>
      <c r="E42" s="4">
        <v>5411</v>
      </c>
      <c r="F42" s="53">
        <f t="shared" si="3"/>
        <v>1.109948717948718</v>
      </c>
      <c r="G42" s="4">
        <v>5</v>
      </c>
      <c r="H42" s="24">
        <f t="shared" si="4"/>
        <v>1.0366495726495726</v>
      </c>
      <c r="I42" s="49">
        <v>28927</v>
      </c>
      <c r="J42" s="19">
        <f t="shared" si="13"/>
        <v>15778.4</v>
      </c>
      <c r="K42" s="19">
        <f t="shared" si="14"/>
        <v>16356.7</v>
      </c>
      <c r="L42" s="19">
        <f t="shared" si="15"/>
        <v>578.30000000000109</v>
      </c>
      <c r="M42" s="19">
        <v>888.6</v>
      </c>
      <c r="N42" s="19">
        <f t="shared" si="16"/>
        <v>15468.1</v>
      </c>
      <c r="O42" s="19">
        <v>2629.7</v>
      </c>
      <c r="P42" s="19">
        <v>2629.8</v>
      </c>
      <c r="Q42" s="19"/>
      <c r="R42" s="19"/>
      <c r="S42" s="19">
        <v>2629.7</v>
      </c>
      <c r="T42" s="19">
        <v>3015.2</v>
      </c>
      <c r="U42" s="19">
        <v>2281.8000000000011</v>
      </c>
      <c r="V42" s="19">
        <f t="shared" si="17"/>
        <v>2281.8999999999996</v>
      </c>
      <c r="W42" s="43"/>
      <c r="X42" s="43"/>
      <c r="Y42" s="44"/>
      <c r="Z42" s="44"/>
      <c r="AA42" s="44"/>
      <c r="AB42" s="19">
        <f t="shared" si="18"/>
        <v>2281.8999999999996</v>
      </c>
      <c r="AC42" s="1"/>
      <c r="AD42" s="1"/>
      <c r="AE42" s="1"/>
      <c r="AF42" s="36"/>
      <c r="AG42" s="36"/>
      <c r="AH42" s="1"/>
      <c r="AI42" s="1"/>
    </row>
    <row r="43" spans="1:35" s="2" customFormat="1" ht="17.100000000000001" customHeight="1">
      <c r="A43" s="6" t="s">
        <v>2</v>
      </c>
      <c r="B43" s="4">
        <v>1</v>
      </c>
      <c r="C43" s="4">
        <v>10</v>
      </c>
      <c r="D43" s="4">
        <v>900</v>
      </c>
      <c r="E43" s="4">
        <v>264</v>
      </c>
      <c r="F43" s="53">
        <f t="shared" si="3"/>
        <v>0.29333333333333333</v>
      </c>
      <c r="G43" s="4">
        <v>5</v>
      </c>
      <c r="H43" s="24">
        <f t="shared" si="4"/>
        <v>0.76444444444444448</v>
      </c>
      <c r="I43" s="49">
        <v>36725</v>
      </c>
      <c r="J43" s="19">
        <f t="shared" si="13"/>
        <v>20031.8</v>
      </c>
      <c r="K43" s="19">
        <f t="shared" si="14"/>
        <v>15313.2</v>
      </c>
      <c r="L43" s="19">
        <f t="shared" si="15"/>
        <v>-4718.5999999999985</v>
      </c>
      <c r="M43" s="19"/>
      <c r="N43" s="19">
        <f t="shared" si="16"/>
        <v>15313.2</v>
      </c>
      <c r="O43" s="19">
        <v>3338.6</v>
      </c>
      <c r="P43" s="19">
        <v>3338.7000000000003</v>
      </c>
      <c r="Q43" s="19"/>
      <c r="R43" s="19"/>
      <c r="S43" s="19">
        <v>3338.5999999999995</v>
      </c>
      <c r="T43" s="19">
        <v>192.89999999999964</v>
      </c>
      <c r="U43" s="19">
        <v>2552.2000000000007</v>
      </c>
      <c r="V43" s="19">
        <f t="shared" si="17"/>
        <v>2552.2000000000007</v>
      </c>
      <c r="W43" s="44"/>
      <c r="X43" s="43"/>
      <c r="Y43" s="44"/>
      <c r="Z43" s="44"/>
      <c r="AA43" s="44"/>
      <c r="AB43" s="19">
        <f t="shared" si="18"/>
        <v>2552.2000000000007</v>
      </c>
      <c r="AC43" s="1"/>
      <c r="AD43" s="1"/>
      <c r="AE43" s="1"/>
      <c r="AF43" s="36"/>
      <c r="AG43" s="36"/>
      <c r="AH43" s="1"/>
      <c r="AI43" s="1"/>
    </row>
    <row r="44" spans="1:35" s="2" customFormat="1" ht="17.100000000000001" customHeight="1">
      <c r="A44" s="6" t="s">
        <v>39</v>
      </c>
      <c r="B44" s="4">
        <v>1</v>
      </c>
      <c r="C44" s="4">
        <v>10</v>
      </c>
      <c r="D44" s="4">
        <v>773</v>
      </c>
      <c r="E44" s="4">
        <v>336</v>
      </c>
      <c r="F44" s="53">
        <f t="shared" si="3"/>
        <v>0.43467011642949549</v>
      </c>
      <c r="G44" s="4">
        <v>5</v>
      </c>
      <c r="H44" s="24">
        <f t="shared" si="4"/>
        <v>0.8115567054764985</v>
      </c>
      <c r="I44" s="49">
        <v>27318</v>
      </c>
      <c r="J44" s="19">
        <f t="shared" si="13"/>
        <v>14900.7</v>
      </c>
      <c r="K44" s="19">
        <f t="shared" si="14"/>
        <v>12092.8</v>
      </c>
      <c r="L44" s="19">
        <f t="shared" si="15"/>
        <v>-2807.9000000000015</v>
      </c>
      <c r="M44" s="19">
        <v>1472.4</v>
      </c>
      <c r="N44" s="19">
        <f t="shared" si="16"/>
        <v>10620.4</v>
      </c>
      <c r="O44" s="19">
        <v>2483.5</v>
      </c>
      <c r="P44" s="19">
        <v>2483.3999999999996</v>
      </c>
      <c r="Q44" s="19"/>
      <c r="R44" s="19"/>
      <c r="S44" s="19">
        <v>2483.5</v>
      </c>
      <c r="T44" s="19">
        <v>611.4</v>
      </c>
      <c r="U44" s="19">
        <v>1279.2999999999984</v>
      </c>
      <c r="V44" s="19">
        <f t="shared" si="17"/>
        <v>1279.3000000000011</v>
      </c>
      <c r="W44" s="44"/>
      <c r="X44" s="43"/>
      <c r="Y44" s="44"/>
      <c r="Z44" s="44"/>
      <c r="AA44" s="44"/>
      <c r="AB44" s="19">
        <f t="shared" si="18"/>
        <v>1279.3000000000011</v>
      </c>
      <c r="AC44" s="1"/>
      <c r="AD44" s="1"/>
      <c r="AE44" s="1"/>
      <c r="AF44" s="36"/>
      <c r="AG44" s="36"/>
      <c r="AH44" s="1"/>
      <c r="AI44" s="1"/>
    </row>
    <row r="45" spans="1:35" s="2" customFormat="1" ht="17.100000000000001" customHeight="1">
      <c r="A45" s="6" t="s">
        <v>3</v>
      </c>
      <c r="B45" s="4">
        <v>1</v>
      </c>
      <c r="C45" s="4">
        <v>10</v>
      </c>
      <c r="D45" s="4">
        <v>832</v>
      </c>
      <c r="E45" s="4">
        <v>225</v>
      </c>
      <c r="F45" s="53">
        <f t="shared" si="3"/>
        <v>0.27043269230769229</v>
      </c>
      <c r="G45" s="4">
        <v>5</v>
      </c>
      <c r="H45" s="24">
        <f t="shared" si="4"/>
        <v>0.75681089743589747</v>
      </c>
      <c r="I45" s="49">
        <v>25737</v>
      </c>
      <c r="J45" s="19">
        <f t="shared" si="13"/>
        <v>14038.4</v>
      </c>
      <c r="K45" s="19">
        <f t="shared" si="14"/>
        <v>10624.4</v>
      </c>
      <c r="L45" s="19">
        <f t="shared" si="15"/>
        <v>-3414</v>
      </c>
      <c r="M45" s="19"/>
      <c r="N45" s="19">
        <f t="shared" si="16"/>
        <v>10624.4</v>
      </c>
      <c r="O45" s="19">
        <v>2339.6999999999998</v>
      </c>
      <c r="P45" s="19">
        <v>2339.8000000000002</v>
      </c>
      <c r="Q45" s="19"/>
      <c r="R45" s="19"/>
      <c r="S45" s="19">
        <v>2339.6999999999998</v>
      </c>
      <c r="T45" s="19">
        <v>63.7</v>
      </c>
      <c r="U45" s="19">
        <v>1770.7000000000007</v>
      </c>
      <c r="V45" s="19">
        <f t="shared" si="17"/>
        <v>1770.7999999999993</v>
      </c>
      <c r="W45" s="43"/>
      <c r="X45" s="43"/>
      <c r="Y45" s="44"/>
      <c r="Z45" s="44"/>
      <c r="AA45" s="44"/>
      <c r="AB45" s="19">
        <f t="shared" si="18"/>
        <v>1770.7999999999993</v>
      </c>
      <c r="AC45" s="1"/>
      <c r="AD45" s="1"/>
      <c r="AE45" s="1"/>
      <c r="AF45" s="36"/>
      <c r="AG45" s="36"/>
      <c r="AH45" s="1"/>
      <c r="AI45" s="1"/>
    </row>
    <row r="46" spans="1:35" s="2" customFormat="1" ht="17.100000000000001" customHeight="1">
      <c r="A46" s="6" t="s">
        <v>40</v>
      </c>
      <c r="B46" s="4">
        <v>1</v>
      </c>
      <c r="C46" s="4">
        <v>10</v>
      </c>
      <c r="D46" s="4">
        <v>1850</v>
      </c>
      <c r="E46" s="4">
        <v>2682</v>
      </c>
      <c r="F46" s="53">
        <f t="shared" si="3"/>
        <v>1.224972972972973</v>
      </c>
      <c r="G46" s="4">
        <v>5</v>
      </c>
      <c r="H46" s="24">
        <f>(B46*C46+F46*G46)/(C46+G46)</f>
        <v>1.0749909909909909</v>
      </c>
      <c r="I46" s="49">
        <v>39549</v>
      </c>
      <c r="J46" s="19">
        <f t="shared" si="13"/>
        <v>21572.2</v>
      </c>
      <c r="K46" s="19">
        <f>ROUND(H46*J46,1)</f>
        <v>23189.9</v>
      </c>
      <c r="L46" s="19">
        <f t="shared" si="15"/>
        <v>1617.7000000000007</v>
      </c>
      <c r="M46" s="19">
        <v>6829.2</v>
      </c>
      <c r="N46" s="19">
        <f t="shared" si="16"/>
        <v>16360.7</v>
      </c>
      <c r="O46" s="19">
        <v>3595.4</v>
      </c>
      <c r="P46" s="19">
        <v>3595.2999999999997</v>
      </c>
      <c r="Q46" s="19"/>
      <c r="R46" s="19"/>
      <c r="S46" s="19">
        <v>3595.4000000000005</v>
      </c>
      <c r="T46" s="19">
        <v>4673.8999999999996</v>
      </c>
      <c r="U46" s="19">
        <v>450.3</v>
      </c>
      <c r="V46" s="19">
        <f t="shared" si="17"/>
        <v>450.40000000000146</v>
      </c>
      <c r="W46" s="43"/>
      <c r="X46" s="43"/>
      <c r="Y46" s="44"/>
      <c r="Z46" s="44"/>
      <c r="AA46" s="44"/>
      <c r="AB46" s="19">
        <f t="shared" si="18"/>
        <v>450.40000000000146</v>
      </c>
      <c r="AC46" s="1"/>
      <c r="AD46" s="1"/>
      <c r="AE46" s="1"/>
      <c r="AF46" s="36"/>
      <c r="AG46" s="36"/>
      <c r="AH46" s="1"/>
      <c r="AI46" s="1"/>
    </row>
    <row r="47" spans="1:35" s="22" customFormat="1" ht="17.100000000000001" customHeight="1">
      <c r="A47" s="21" t="s">
        <v>45</v>
      </c>
      <c r="B47" s="21"/>
      <c r="C47" s="21"/>
      <c r="D47" s="38">
        <f>D8+D19</f>
        <v>423007</v>
      </c>
      <c r="E47" s="38">
        <f>E8+E19</f>
        <v>453808</v>
      </c>
      <c r="F47" s="54">
        <f>IF(E47/D47&gt;1.2,IF((E47/D47-1.2)*0.1+1.2&gt;1.3,1.3,(E47/D47-1.2)*0.1+1.2),E47/D47)</f>
        <v>1.0728143978704845</v>
      </c>
      <c r="G47" s="21"/>
      <c r="H47" s="48">
        <f>K47/J47</f>
        <v>0.95553428999384493</v>
      </c>
      <c r="I47" s="47">
        <f t="shared" ref="I47:O47" si="19">I8+I19</f>
        <v>1518470</v>
      </c>
      <c r="J47" s="23">
        <f t="shared" si="19"/>
        <v>828256.2</v>
      </c>
      <c r="K47" s="23">
        <f t="shared" si="19"/>
        <v>791427.2</v>
      </c>
      <c r="L47" s="23">
        <f t="shared" si="19"/>
        <v>-36829</v>
      </c>
      <c r="M47" s="23">
        <f t="shared" si="19"/>
        <v>45507</v>
      </c>
      <c r="N47" s="23">
        <f t="shared" si="19"/>
        <v>745920.2</v>
      </c>
      <c r="O47" s="23">
        <f t="shared" si="19"/>
        <v>136363.79999999999</v>
      </c>
      <c r="P47" s="23">
        <f t="shared" ref="P47:U47" si="20">P8+P19</f>
        <v>136363.70000000001</v>
      </c>
      <c r="Q47" s="23">
        <f t="shared" si="20"/>
        <v>10000</v>
      </c>
      <c r="R47" s="23">
        <f t="shared" si="20"/>
        <v>15336</v>
      </c>
      <c r="S47" s="23">
        <f t="shared" si="20"/>
        <v>124844.5</v>
      </c>
      <c r="T47" s="23">
        <f t="shared" si="20"/>
        <v>114288.1</v>
      </c>
      <c r="U47" s="23">
        <f t="shared" si="20"/>
        <v>96103.700000000012</v>
      </c>
      <c r="V47" s="23">
        <f>V8+V19</f>
        <v>112620.4</v>
      </c>
      <c r="W47" s="38">
        <f>COUNTIF(W9:W46,"-")</f>
        <v>0</v>
      </c>
      <c r="X47" s="38">
        <f>COUNTIF(X9:X46,"-")</f>
        <v>0</v>
      </c>
      <c r="Y47" s="38">
        <f>COUNTIF(Y9:Y46,"-")</f>
        <v>1</v>
      </c>
      <c r="Z47" s="38">
        <f>COUNTIF(Z9:Z46,"-")</f>
        <v>1</v>
      </c>
      <c r="AA47" s="38">
        <f>COUNTIF(AA9:AA46,"-")</f>
        <v>1</v>
      </c>
      <c r="AB47" s="23">
        <f>AB8+AB19</f>
        <v>114658.5</v>
      </c>
      <c r="AC47" s="1"/>
      <c r="AD47" s="1"/>
      <c r="AE47" s="1"/>
      <c r="AF47" s="1"/>
      <c r="AG47" s="1"/>
      <c r="AH47" s="1"/>
      <c r="AI47" s="1"/>
    </row>
    <row r="48" spans="1:35" ht="21" customHeight="1"/>
    <row r="49" spans="1:28" ht="17.25" customHeight="1">
      <c r="A49" s="41" t="s">
        <v>49</v>
      </c>
      <c r="B49" s="40"/>
      <c r="C49" s="59" t="s">
        <v>50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45"/>
      <c r="Z49" s="45"/>
      <c r="AA49" s="45"/>
      <c r="AB49" s="45"/>
    </row>
    <row r="50" spans="1:28" ht="17.25" customHeight="1">
      <c r="B50" s="42" t="s">
        <v>61</v>
      </c>
      <c r="C50" s="59" t="s">
        <v>52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45"/>
      <c r="Z50" s="45"/>
      <c r="AA50" s="45"/>
      <c r="AB50" s="45"/>
    </row>
    <row r="52" spans="1:28" ht="15" customHeight="1"/>
  </sheetData>
  <mergeCells count="30">
    <mergeCell ref="B1:Q1"/>
    <mergeCell ref="AB3:AB6"/>
    <mergeCell ref="A3:A6"/>
    <mergeCell ref="I3:I6"/>
    <mergeCell ref="L3:L6"/>
    <mergeCell ref="K3:K6"/>
    <mergeCell ref="H3:H6"/>
    <mergeCell ref="J3:J6"/>
    <mergeCell ref="W4:X4"/>
    <mergeCell ref="Y4:Y6"/>
    <mergeCell ref="B3:C5"/>
    <mergeCell ref="W3:AA3"/>
    <mergeCell ref="Z4:Z6"/>
    <mergeCell ref="AA4:AA6"/>
    <mergeCell ref="U5:U6"/>
    <mergeCell ref="C49:X49"/>
    <mergeCell ref="C50:X50"/>
    <mergeCell ref="W5:W6"/>
    <mergeCell ref="X5:X6"/>
    <mergeCell ref="V3:V6"/>
    <mergeCell ref="O5:O6"/>
    <mergeCell ref="P5:P6"/>
    <mergeCell ref="Q5:Q6"/>
    <mergeCell ref="R5:R6"/>
    <mergeCell ref="S5:S6"/>
    <mergeCell ref="D3:G5"/>
    <mergeCell ref="T5:T6"/>
    <mergeCell ref="M3:M6"/>
    <mergeCell ref="N3:N6"/>
    <mergeCell ref="O3:U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  <colBreaks count="1" manualBreakCount="1">
    <brk id="1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" sqref="A3:A4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15.75">
      <c r="A1" s="68" t="s">
        <v>91</v>
      </c>
      <c r="B1" s="68"/>
      <c r="C1" s="68"/>
      <c r="D1" s="68"/>
      <c r="E1" s="68"/>
      <c r="F1" s="68"/>
      <c r="G1" s="68"/>
      <c r="H1" s="68"/>
      <c r="I1" s="68"/>
    </row>
    <row r="2" spans="1:9" ht="15.6" customHeight="1">
      <c r="A2" s="37"/>
      <c r="B2" s="37"/>
      <c r="C2" s="37"/>
      <c r="D2" s="37"/>
      <c r="E2" s="37"/>
      <c r="F2" s="37"/>
      <c r="G2" s="37"/>
      <c r="H2" s="37"/>
      <c r="I2" s="39" t="s">
        <v>46</v>
      </c>
    </row>
    <row r="3" spans="1:9" ht="99.75" customHeight="1">
      <c r="A3" s="69" t="s">
        <v>15</v>
      </c>
      <c r="B3" s="70" t="s">
        <v>41</v>
      </c>
      <c r="C3" s="72" t="s">
        <v>57</v>
      </c>
      <c r="D3" s="72"/>
      <c r="E3" s="72"/>
      <c r="F3" s="73" t="s">
        <v>75</v>
      </c>
      <c r="G3" s="73"/>
      <c r="H3" s="73"/>
      <c r="I3" s="71" t="s">
        <v>44</v>
      </c>
    </row>
    <row r="4" spans="1:9" ht="32.1" customHeight="1">
      <c r="A4" s="69"/>
      <c r="B4" s="70"/>
      <c r="C4" s="12" t="s">
        <v>42</v>
      </c>
      <c r="D4" s="12" t="s">
        <v>43</v>
      </c>
      <c r="E4" s="50" t="s">
        <v>77</v>
      </c>
      <c r="F4" s="12" t="s">
        <v>42</v>
      </c>
      <c r="G4" s="12" t="s">
        <v>43</v>
      </c>
      <c r="H4" s="55" t="s">
        <v>76</v>
      </c>
      <c r="I4" s="71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-10856.399999999998</v>
      </c>
      <c r="C6" s="28"/>
      <c r="D6" s="28"/>
      <c r="E6" s="28">
        <f>SUM(E7:E16)</f>
        <v>0</v>
      </c>
      <c r="F6" s="28"/>
      <c r="G6" s="28"/>
      <c r="H6" s="28">
        <f>SUM(H7:H16)</f>
        <v>-10856.399999999998</v>
      </c>
      <c r="I6" s="28"/>
    </row>
    <row r="7" spans="1:9" ht="15" customHeight="1">
      <c r="A7" s="15" t="s">
        <v>5</v>
      </c>
      <c r="B7" s="29">
        <f>'Расчет дотаций'!L9</f>
        <v>0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4.3936404781246274E-2</v>
      </c>
      <c r="G7" s="33">
        <f>F7*'Расчет дотаций'!G9</f>
        <v>0.65904607171869412</v>
      </c>
      <c r="H7" s="32">
        <f>$B7*G7/$I7</f>
        <v>0</v>
      </c>
      <c r="I7" s="31">
        <f>D7+G7</f>
        <v>0.65904607171869412</v>
      </c>
    </row>
    <row r="8" spans="1:9" ht="15" customHeight="1">
      <c r="A8" s="15" t="s">
        <v>6</v>
      </c>
      <c r="B8" s="29">
        <f>'Расчет дотаций'!L10</f>
        <v>2883.9000000000015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9.7075743048897323E-2</v>
      </c>
      <c r="G8" s="33">
        <f>F8*'Расчет дотаций'!G10</f>
        <v>1.4561361457334598</v>
      </c>
      <c r="H8" s="32">
        <f t="shared" ref="H8:H44" si="1">$B8*G8/$I8</f>
        <v>2883.900000000001</v>
      </c>
      <c r="I8" s="31">
        <f t="shared" ref="I8:I44" si="2">D8+G8</f>
        <v>1.4561361457334598</v>
      </c>
    </row>
    <row r="9" spans="1:9" ht="15" customHeight="1">
      <c r="A9" s="15" t="s">
        <v>7</v>
      </c>
      <c r="B9" s="29">
        <f>'Расчет дотаций'!L11</f>
        <v>5874.6999999999971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0.20473583576532151</v>
      </c>
      <c r="G9" s="33">
        <f>F9*'Расчет дотаций'!G11</f>
        <v>3.0710375364798228</v>
      </c>
      <c r="H9" s="32">
        <f t="shared" si="1"/>
        <v>5874.6999999999971</v>
      </c>
      <c r="I9" s="31">
        <f t="shared" si="2"/>
        <v>3.0710375364798228</v>
      </c>
    </row>
    <row r="10" spans="1:9" ht="15" customHeight="1">
      <c r="A10" s="15" t="s">
        <v>8</v>
      </c>
      <c r="B10" s="29">
        <f>'Расчет дотаций'!L12</f>
        <v>-7414.6999999999971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-0.29520162737824573</v>
      </c>
      <c r="G10" s="33">
        <f>F10*'Расчет дотаций'!G12</f>
        <v>-4.4280244106736859</v>
      </c>
      <c r="H10" s="32">
        <f t="shared" si="1"/>
        <v>-7414.699999999998</v>
      </c>
      <c r="I10" s="31">
        <f t="shared" si="2"/>
        <v>-4.4280244106736859</v>
      </c>
    </row>
    <row r="11" spans="1:9" ht="15" customHeight="1">
      <c r="A11" s="15" t="s">
        <v>9</v>
      </c>
      <c r="B11" s="29">
        <f>'Расчет дотаций'!L13</f>
        <v>1799.1000000000058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6.469760900140642E-2</v>
      </c>
      <c r="G11" s="33">
        <f>F11*'Расчет дотаций'!G13</f>
        <v>0.9704641350210963</v>
      </c>
      <c r="H11" s="32">
        <f t="shared" si="1"/>
        <v>1799.1000000000058</v>
      </c>
      <c r="I11" s="31">
        <f t="shared" si="2"/>
        <v>0.9704641350210963</v>
      </c>
    </row>
    <row r="12" spans="1:9" ht="15" customHeight="1">
      <c r="A12" s="15" t="s">
        <v>10</v>
      </c>
      <c r="B12" s="29">
        <f>'Расчет дотаций'!L14</f>
        <v>-5989.5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-0.54112221368178326</v>
      </c>
      <c r="G12" s="33">
        <f>F12*'Расчет дотаций'!G14</f>
        <v>-8.1168332052267491</v>
      </c>
      <c r="H12" s="32">
        <f t="shared" si="1"/>
        <v>-5989.5</v>
      </c>
      <c r="I12" s="31">
        <f t="shared" si="2"/>
        <v>-8.1168332052267491</v>
      </c>
    </row>
    <row r="13" spans="1:9" ht="15" customHeight="1">
      <c r="A13" s="15" t="s">
        <v>11</v>
      </c>
      <c r="B13" s="29">
        <f>'Расчет дотаций'!L15</f>
        <v>-290.90000000000146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-1.3371266002844995E-2</v>
      </c>
      <c r="G13" s="33">
        <f>F13*'Расчет дотаций'!G15</f>
        <v>-0.20056899004267492</v>
      </c>
      <c r="H13" s="32">
        <f t="shared" si="1"/>
        <v>-290.90000000000146</v>
      </c>
      <c r="I13" s="31">
        <f t="shared" si="2"/>
        <v>-0.20056899004267492</v>
      </c>
    </row>
    <row r="14" spans="1:9" ht="15" customHeight="1">
      <c r="A14" s="15" t="s">
        <v>12</v>
      </c>
      <c r="B14" s="29">
        <f>'Расчет дотаций'!L16</f>
        <v>2729.7999999999993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0.23178441369264391</v>
      </c>
      <c r="G14" s="33">
        <f>F14*'Расчет дотаций'!G16</f>
        <v>3.4767662053896586</v>
      </c>
      <c r="H14" s="32">
        <f t="shared" si="1"/>
        <v>2729.7999999999993</v>
      </c>
      <c r="I14" s="31">
        <f t="shared" si="2"/>
        <v>3.4767662053896586</v>
      </c>
    </row>
    <row r="15" spans="1:9" ht="15" customHeight="1">
      <c r="A15" s="15" t="s">
        <v>13</v>
      </c>
      <c r="B15" s="29">
        <f>'Расчет дотаций'!L17</f>
        <v>-3595.9000000000015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-0.14776168071924345</v>
      </c>
      <c r="G15" s="33">
        <f>F15*'Расчет дотаций'!G17</f>
        <v>-2.2164252107886515</v>
      </c>
      <c r="H15" s="32">
        <f t="shared" si="1"/>
        <v>-3595.9000000000015</v>
      </c>
      <c r="I15" s="31">
        <f t="shared" si="2"/>
        <v>-2.2164252107886515</v>
      </c>
    </row>
    <row r="16" spans="1:9" ht="15" customHeight="1">
      <c r="A16" s="15" t="s">
        <v>14</v>
      </c>
      <c r="B16" s="29">
        <f>'Расчет дотаций'!L18</f>
        <v>-6852.9000000000015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-0.48786885245901634</v>
      </c>
      <c r="G16" s="33">
        <f>F16*'Расчет дотаций'!G18</f>
        <v>-7.3180327868852455</v>
      </c>
      <c r="H16" s="32">
        <f t="shared" si="1"/>
        <v>-6852.9000000000005</v>
      </c>
      <c r="I16" s="31">
        <f t="shared" si="2"/>
        <v>-7.3180327868852455</v>
      </c>
    </row>
    <row r="17" spans="1:9" ht="15" customHeight="1">
      <c r="A17" s="16" t="s">
        <v>17</v>
      </c>
      <c r="B17" s="28">
        <f>SUM(B18:B44)</f>
        <v>-25972.600000000002</v>
      </c>
      <c r="C17" s="28"/>
      <c r="D17" s="28"/>
      <c r="E17" s="28">
        <f>SUM(E18:E44)</f>
        <v>0</v>
      </c>
      <c r="F17" s="28"/>
      <c r="G17" s="28"/>
      <c r="H17" s="28">
        <f>SUM(H18:H44)</f>
        <v>-25972.600000000002</v>
      </c>
      <c r="I17" s="28"/>
    </row>
    <row r="18" spans="1:9" ht="15" customHeight="1">
      <c r="A18" s="17" t="s">
        <v>0</v>
      </c>
      <c r="B18" s="29">
        <f>'Расчет дотаций'!L20</f>
        <v>1278.1999999999989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$B18*D18/$I18</f>
        <v>0</v>
      </c>
      <c r="F18" s="33">
        <f>'Расчет дотаций'!F20-1</f>
        <v>0.30000000000000004</v>
      </c>
      <c r="G18" s="33">
        <f>F18*'Расчет дотаций'!G20</f>
        <v>1.5000000000000002</v>
      </c>
      <c r="H18" s="32">
        <f t="shared" si="1"/>
        <v>1278.1999999999989</v>
      </c>
      <c r="I18" s="31">
        <f t="shared" si="2"/>
        <v>1.5000000000000002</v>
      </c>
    </row>
    <row r="19" spans="1:9" ht="15" customHeight="1">
      <c r="A19" s="17" t="s">
        <v>18</v>
      </c>
      <c r="B19" s="29">
        <f>'Расчет дотаций'!L21</f>
        <v>1743.7000000000007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0.21075734157650694</v>
      </c>
      <c r="G19" s="33">
        <f>F19*'Расчет дотаций'!G21</f>
        <v>1.0537867078825347</v>
      </c>
      <c r="H19" s="32">
        <f t="shared" si="1"/>
        <v>1743.7000000000007</v>
      </c>
      <c r="I19" s="31">
        <f t="shared" si="2"/>
        <v>1.0537867078825347</v>
      </c>
    </row>
    <row r="20" spans="1:9" ht="15" customHeight="1">
      <c r="A20" s="17" t="s">
        <v>19</v>
      </c>
      <c r="B20" s="29">
        <f>'Расчет дотаций'!L22</f>
        <v>790.69999999999891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0.18190127970749548</v>
      </c>
      <c r="G20" s="33">
        <f>F20*'Расчет дотаций'!G22</f>
        <v>0.90950639853747739</v>
      </c>
      <c r="H20" s="32">
        <f t="shared" si="1"/>
        <v>790.69999999999891</v>
      </c>
      <c r="I20" s="31">
        <f t="shared" si="2"/>
        <v>0.90950639853747739</v>
      </c>
    </row>
    <row r="21" spans="1:9" ht="15" customHeight="1">
      <c r="A21" s="17" t="s">
        <v>20</v>
      </c>
      <c r="B21" s="29">
        <f>'Расчет дотаций'!L23</f>
        <v>-4906.2000000000007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-0.73923739237392372</v>
      </c>
      <c r="G21" s="33">
        <f>F21*'Расчет дотаций'!G23</f>
        <v>-3.6961869618696186</v>
      </c>
      <c r="H21" s="32">
        <f t="shared" si="1"/>
        <v>-4906.2000000000007</v>
      </c>
      <c r="I21" s="31">
        <f t="shared" si="2"/>
        <v>-3.6961869618696186</v>
      </c>
    </row>
    <row r="22" spans="1:9" ht="15" customHeight="1">
      <c r="A22" s="17" t="s">
        <v>21</v>
      </c>
      <c r="B22" s="29">
        <f>'Расчет дотаций'!L24</f>
        <v>-1941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-0.28306264501160094</v>
      </c>
      <c r="G22" s="33">
        <f>F22*'Расчет дотаций'!G24</f>
        <v>-1.4153132250580047</v>
      </c>
      <c r="H22" s="32">
        <f t="shared" si="1"/>
        <v>-1941.0000000000002</v>
      </c>
      <c r="I22" s="31">
        <f t="shared" si="2"/>
        <v>-1.4153132250580047</v>
      </c>
    </row>
    <row r="23" spans="1:9" ht="15" customHeight="1">
      <c r="A23" s="17" t="s">
        <v>22</v>
      </c>
      <c r="B23" s="29">
        <f>'Расчет дотаций'!L25</f>
        <v>-4112.3000000000011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-0.6164556962025316</v>
      </c>
      <c r="G23" s="33">
        <f>F23*'Расчет дотаций'!G25</f>
        <v>-3.0822784810126578</v>
      </c>
      <c r="H23" s="32">
        <f t="shared" si="1"/>
        <v>-4112.3000000000011</v>
      </c>
      <c r="I23" s="31">
        <f t="shared" si="2"/>
        <v>-3.0822784810126578</v>
      </c>
    </row>
    <row r="24" spans="1:9" ht="15" customHeight="1">
      <c r="A24" s="17" t="s">
        <v>23</v>
      </c>
      <c r="B24" s="29">
        <f>'Расчет дотаций'!L26</f>
        <v>-776.59999999999854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-0.1099368853662116</v>
      </c>
      <c r="G24" s="33">
        <f>F24*'Расчет дотаций'!G26</f>
        <v>-0.549684426831058</v>
      </c>
      <c r="H24" s="32">
        <f t="shared" si="1"/>
        <v>-776.59999999999854</v>
      </c>
      <c r="I24" s="31">
        <f t="shared" si="2"/>
        <v>-0.549684426831058</v>
      </c>
    </row>
    <row r="25" spans="1:9" ht="15" customHeight="1">
      <c r="A25" s="17" t="s">
        <v>24</v>
      </c>
      <c r="B25" s="29">
        <f>'Расчет дотаций'!L27</f>
        <v>634.79999999999927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0.22173669467787116</v>
      </c>
      <c r="G25" s="33">
        <f>F25*'Расчет дотаций'!G27</f>
        <v>1.1086834733893558</v>
      </c>
      <c r="H25" s="32">
        <f t="shared" si="1"/>
        <v>634.79999999999927</v>
      </c>
      <c r="I25" s="31">
        <f t="shared" si="2"/>
        <v>1.1086834733893558</v>
      </c>
    </row>
    <row r="26" spans="1:9" ht="15" customHeight="1">
      <c r="A26" s="17" t="s">
        <v>25</v>
      </c>
      <c r="B26" s="29">
        <f>'Расчет дотаций'!L28</f>
        <v>-2725.3999999999996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-0.6875</v>
      </c>
      <c r="G26" s="33">
        <f>F26*'Расчет дотаций'!G28</f>
        <v>-3.4375</v>
      </c>
      <c r="H26" s="32">
        <f t="shared" si="1"/>
        <v>-2725.3999999999996</v>
      </c>
      <c r="I26" s="31">
        <f t="shared" si="2"/>
        <v>-3.4375</v>
      </c>
    </row>
    <row r="27" spans="1:9" ht="15" customHeight="1">
      <c r="A27" s="17" t="s">
        <v>26</v>
      </c>
      <c r="B27" s="29">
        <f>'Расчет дотаций'!L29</f>
        <v>1223.7000000000007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0.27361702127659582</v>
      </c>
      <c r="G27" s="33">
        <f>F27*'Расчет дотаций'!G29</f>
        <v>1.3680851063829791</v>
      </c>
      <c r="H27" s="32">
        <f t="shared" si="1"/>
        <v>1223.7000000000007</v>
      </c>
      <c r="I27" s="31">
        <f t="shared" si="2"/>
        <v>1.3680851063829791</v>
      </c>
    </row>
    <row r="28" spans="1:9" ht="15" customHeight="1">
      <c r="A28" s="17" t="s">
        <v>27</v>
      </c>
      <c r="B28" s="29">
        <f>'Расчет дотаций'!L30</f>
        <v>-20.200000000000728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-4.4044427422443855E-3</v>
      </c>
      <c r="G28" s="33">
        <f>F28*'Расчет дотаций'!G30</f>
        <v>-2.2022213711221927E-2</v>
      </c>
      <c r="H28" s="32">
        <f t="shared" si="1"/>
        <v>-20.200000000000728</v>
      </c>
      <c r="I28" s="31">
        <f t="shared" si="2"/>
        <v>-2.2022213711221927E-2</v>
      </c>
    </row>
    <row r="29" spans="1:9" ht="15" customHeight="1">
      <c r="A29" s="17" t="s">
        <v>28</v>
      </c>
      <c r="B29" s="29">
        <f>'Расчет дотаций'!L31</f>
        <v>1854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0.20471655328798177</v>
      </c>
      <c r="G29" s="33">
        <f>F29*'Расчет дотаций'!G31</f>
        <v>1.0235827664399089</v>
      </c>
      <c r="H29" s="32">
        <f t="shared" si="1"/>
        <v>1854</v>
      </c>
      <c r="I29" s="31">
        <f t="shared" si="2"/>
        <v>1.0235827664399089</v>
      </c>
    </row>
    <row r="30" spans="1:9" ht="15" customHeight="1">
      <c r="A30" s="17" t="s">
        <v>29</v>
      </c>
      <c r="B30" s="29">
        <f>'Расчет дотаций'!L32</f>
        <v>-4275.8999999999996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-0.85623678646934465</v>
      </c>
      <c r="G30" s="33">
        <f>F30*'Расчет дотаций'!G32</f>
        <v>-4.2811839323467229</v>
      </c>
      <c r="H30" s="32">
        <f t="shared" si="1"/>
        <v>-4275.8999999999996</v>
      </c>
      <c r="I30" s="31">
        <f t="shared" si="2"/>
        <v>-4.2811839323467229</v>
      </c>
    </row>
    <row r="31" spans="1:9" ht="15" customHeight="1">
      <c r="A31" s="17" t="s">
        <v>30</v>
      </c>
      <c r="B31" s="29">
        <f>'Расчет дотаций'!L33</f>
        <v>-1361.2999999999993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-0.20555073720728534</v>
      </c>
      <c r="G31" s="33">
        <f>F31*'Расчет дотаций'!G33</f>
        <v>-1.0277536860364267</v>
      </c>
      <c r="H31" s="32">
        <f t="shared" si="1"/>
        <v>-1361.2999999999993</v>
      </c>
      <c r="I31" s="31">
        <f t="shared" si="2"/>
        <v>-1.0277536860364267</v>
      </c>
    </row>
    <row r="32" spans="1:9" ht="15" customHeight="1">
      <c r="A32" s="17" t="s">
        <v>31</v>
      </c>
      <c r="B32" s="29">
        <f>'Расчет дотаций'!L34</f>
        <v>-48.400000000001455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-8.0459770114942319E-3</v>
      </c>
      <c r="G32" s="33">
        <f>F32*'Расчет дотаций'!G34</f>
        <v>-4.022988505747116E-2</v>
      </c>
      <c r="H32" s="32">
        <f t="shared" si="1"/>
        <v>-48.400000000001455</v>
      </c>
      <c r="I32" s="31">
        <f t="shared" si="2"/>
        <v>-4.022988505747116E-2</v>
      </c>
    </row>
    <row r="33" spans="1:10" ht="15" customHeight="1">
      <c r="A33" s="17" t="s">
        <v>1</v>
      </c>
      <c r="B33" s="29">
        <f>'Расчет дотаций'!L35</f>
        <v>1449.2000000000007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0.21582513771159784</v>
      </c>
      <c r="G33" s="33">
        <f>F33*'Расчет дотаций'!G35</f>
        <v>1.0791256885579892</v>
      </c>
      <c r="H33" s="32">
        <f t="shared" si="1"/>
        <v>1449.2000000000007</v>
      </c>
      <c r="I33" s="31">
        <f t="shared" si="2"/>
        <v>1.0791256885579892</v>
      </c>
    </row>
    <row r="34" spans="1:10" ht="15" customHeight="1">
      <c r="A34" s="17" t="s">
        <v>32</v>
      </c>
      <c r="B34" s="29">
        <f>'Расчет дотаций'!L36</f>
        <v>-3739.8000000000011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-0.68793103448275861</v>
      </c>
      <c r="G34" s="33">
        <f>F34*'Расчет дотаций'!G36</f>
        <v>-3.4396551724137931</v>
      </c>
      <c r="H34" s="32">
        <f t="shared" si="1"/>
        <v>-3739.8000000000011</v>
      </c>
      <c r="I34" s="31">
        <f t="shared" si="2"/>
        <v>-3.4396551724137931</v>
      </c>
    </row>
    <row r="35" spans="1:10" ht="15" customHeight="1">
      <c r="A35" s="17" t="s">
        <v>33</v>
      </c>
      <c r="B35" s="29">
        <f>'Расчет дотаций'!L37</f>
        <v>-828.60000000000036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-0.43859649122807021</v>
      </c>
      <c r="G35" s="33">
        <f>F35*'Расчет дотаций'!G37</f>
        <v>-2.192982456140351</v>
      </c>
      <c r="H35" s="32">
        <f t="shared" si="1"/>
        <v>-828.60000000000036</v>
      </c>
      <c r="I35" s="31">
        <f t="shared" si="2"/>
        <v>-2.192982456140351</v>
      </c>
    </row>
    <row r="36" spans="1:10" ht="15" customHeight="1">
      <c r="A36" s="17" t="s">
        <v>34</v>
      </c>
      <c r="B36" s="29">
        <f>'Расчет дотаций'!L38</f>
        <v>-5105.9000000000015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-0.50855855855855858</v>
      </c>
      <c r="G36" s="33">
        <f>F36*'Расчет дотаций'!G38</f>
        <v>-2.5427927927927927</v>
      </c>
      <c r="H36" s="32">
        <f t="shared" si="1"/>
        <v>-5105.9000000000015</v>
      </c>
      <c r="I36" s="31">
        <f t="shared" si="2"/>
        <v>-2.5427927927927927</v>
      </c>
    </row>
    <row r="37" spans="1:10" ht="15" customHeight="1">
      <c r="A37" s="17" t="s">
        <v>35</v>
      </c>
      <c r="B37" s="29">
        <f>'Расчет дотаций'!L39</f>
        <v>1396.5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0.21248239436619709</v>
      </c>
      <c r="G37" s="33">
        <f>F37*'Расчет дотаций'!G39</f>
        <v>1.0624119718309855</v>
      </c>
      <c r="H37" s="32">
        <f t="shared" si="1"/>
        <v>1396.5</v>
      </c>
      <c r="I37" s="31">
        <f t="shared" si="2"/>
        <v>1.0624119718309855</v>
      </c>
    </row>
    <row r="38" spans="1:10" ht="15" customHeight="1">
      <c r="A38" s="17" t="s">
        <v>36</v>
      </c>
      <c r="B38" s="29">
        <f>'Расчет дотаций'!L40</f>
        <v>-633.79999999999927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-6.968215158924207E-2</v>
      </c>
      <c r="G38" s="33">
        <f>F38*'Расчет дотаций'!G40</f>
        <v>-0.34841075794621035</v>
      </c>
      <c r="H38" s="32">
        <f t="shared" si="1"/>
        <v>-633.79999999999927</v>
      </c>
      <c r="I38" s="31">
        <f t="shared" si="2"/>
        <v>-0.34841075794621035</v>
      </c>
    </row>
    <row r="39" spans="1:10" ht="15" customHeight="1">
      <c r="A39" s="17" t="s">
        <v>37</v>
      </c>
      <c r="B39" s="29">
        <f>'Расчет дотаций'!L41</f>
        <v>2876.5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0.22228504906036917</v>
      </c>
      <c r="G39" s="33">
        <f>F39*'Расчет дотаций'!G41</f>
        <v>1.1114252453018458</v>
      </c>
      <c r="H39" s="32">
        <f t="shared" si="1"/>
        <v>2876.5</v>
      </c>
      <c r="I39" s="31">
        <f t="shared" si="2"/>
        <v>1.1114252453018458</v>
      </c>
    </row>
    <row r="40" spans="1:10" ht="15" customHeight="1">
      <c r="A40" s="17" t="s">
        <v>38</v>
      </c>
      <c r="B40" s="29">
        <f>'Расчет дотаций'!L42</f>
        <v>578.30000000000109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0.10994871794871797</v>
      </c>
      <c r="G40" s="33">
        <f>F40*'Расчет дотаций'!G42</f>
        <v>0.54974358974358983</v>
      </c>
      <c r="H40" s="32">
        <f t="shared" si="1"/>
        <v>578.30000000000109</v>
      </c>
      <c r="I40" s="31">
        <f t="shared" si="2"/>
        <v>0.54974358974358983</v>
      </c>
    </row>
    <row r="41" spans="1:10" ht="15" customHeight="1">
      <c r="A41" s="17" t="s">
        <v>2</v>
      </c>
      <c r="B41" s="29">
        <f>'Расчет дотаций'!L43</f>
        <v>-4718.5999999999985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-0.70666666666666667</v>
      </c>
      <c r="G41" s="33">
        <f>F41*'Расчет дотаций'!G43</f>
        <v>-3.5333333333333332</v>
      </c>
      <c r="H41" s="32">
        <f t="shared" si="1"/>
        <v>-4718.5999999999985</v>
      </c>
      <c r="I41" s="31">
        <f t="shared" si="2"/>
        <v>-3.5333333333333332</v>
      </c>
    </row>
    <row r="42" spans="1:10" ht="15" customHeight="1">
      <c r="A42" s="17" t="s">
        <v>39</v>
      </c>
      <c r="B42" s="29">
        <f>'Расчет дотаций'!L44</f>
        <v>-2807.9000000000015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-0.56532988357050451</v>
      </c>
      <c r="G42" s="33">
        <f>F42*'Расчет дотаций'!G44</f>
        <v>-2.8266494178525226</v>
      </c>
      <c r="H42" s="32">
        <f t="shared" si="1"/>
        <v>-2807.9000000000015</v>
      </c>
      <c r="I42" s="31">
        <f t="shared" si="2"/>
        <v>-2.8266494178525226</v>
      </c>
    </row>
    <row r="43" spans="1:10" ht="15" customHeight="1">
      <c r="A43" s="17" t="s">
        <v>3</v>
      </c>
      <c r="B43" s="29">
        <f>'Расчет дотаций'!L45</f>
        <v>-3414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-0.72956730769230771</v>
      </c>
      <c r="G43" s="33">
        <f>F43*'Расчет дотаций'!G45</f>
        <v>-3.6478365384615383</v>
      </c>
      <c r="H43" s="32">
        <f t="shared" si="1"/>
        <v>-3414</v>
      </c>
      <c r="I43" s="31">
        <f t="shared" si="2"/>
        <v>-3.6478365384615383</v>
      </c>
    </row>
    <row r="44" spans="1:10" ht="15" customHeight="1">
      <c r="A44" s="17" t="s">
        <v>40</v>
      </c>
      <c r="B44" s="29">
        <f>'Расчет дотаций'!L46</f>
        <v>1617.7000000000007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0.22497297297297303</v>
      </c>
      <c r="G44" s="33">
        <f>F44*'Расчет дотаций'!G46</f>
        <v>1.1248648648648651</v>
      </c>
      <c r="H44" s="32">
        <f t="shared" si="1"/>
        <v>1617.7000000000007</v>
      </c>
      <c r="I44" s="31">
        <f t="shared" si="2"/>
        <v>1.1248648648648651</v>
      </c>
    </row>
    <row r="45" spans="1:10" s="27" customFormat="1" ht="15" customHeight="1">
      <c r="A45" s="26" t="s">
        <v>45</v>
      </c>
      <c r="B45" s="30">
        <f>B6+B17</f>
        <v>-36829</v>
      </c>
      <c r="C45" s="30"/>
      <c r="D45" s="30"/>
      <c r="E45" s="30">
        <f>E6+E17</f>
        <v>0</v>
      </c>
      <c r="F45" s="30"/>
      <c r="G45" s="30"/>
      <c r="H45" s="30">
        <f>H6+H17</f>
        <v>-36829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2026-07-16T06:51:14Z</cp:lastPrinted>
  <dcterms:created xsi:type="dcterms:W3CDTF">2010-02-05T14:48:49Z</dcterms:created>
  <dcterms:modified xsi:type="dcterms:W3CDTF">2026-07-16T08:33:12Z</dcterms:modified>
</cp:coreProperties>
</file>