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дотаций'!$A$1:$AJ$50</definedName>
  </definedNames>
  <calcPr calcId="125725"/>
</workbook>
</file>

<file path=xl/calcChain.xml><?xml version="1.0" encoding="utf-8"?>
<calcChain xmlns="http://schemas.openxmlformats.org/spreadsheetml/2006/main">
  <c r="AJ9" i="7"/>
  <c r="P47"/>
  <c r="P46"/>
  <c r="P42"/>
  <c r="P43"/>
  <c r="P44"/>
  <c r="P45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20"/>
  <c r="P10"/>
  <c r="P11"/>
  <c r="P12"/>
  <c r="P13"/>
  <c r="P14"/>
  <c r="P15"/>
  <c r="P16"/>
  <c r="P17"/>
  <c r="P18"/>
  <c r="P9"/>
  <c r="R46" l="1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AE47"/>
  <c r="AE19"/>
  <c r="AE8"/>
  <c r="Q9" l="1"/>
  <c r="AD19"/>
  <c r="AD8"/>
  <c r="AD47" l="1"/>
  <c r="AC8" l="1"/>
  <c r="AC47" s="1"/>
  <c r="AC19"/>
  <c r="N46" l="1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M47"/>
  <c r="N47" s="1"/>
  <c r="L47"/>
  <c r="M19"/>
  <c r="N19" s="1"/>
  <c r="L19"/>
  <c r="M8"/>
  <c r="N8" s="1"/>
  <c r="L8"/>
  <c r="L19" i="8" l="1"/>
  <c r="M19" s="1"/>
  <c r="L43"/>
  <c r="M43" s="1"/>
  <c r="L30"/>
  <c r="M30" s="1"/>
  <c r="L44"/>
  <c r="M44" s="1"/>
  <c r="L38"/>
  <c r="M38" s="1"/>
  <c r="L20"/>
  <c r="M20" s="1"/>
  <c r="L29"/>
  <c r="M29" s="1"/>
  <c r="L25"/>
  <c r="M25" s="1"/>
  <c r="L37"/>
  <c r="M37" s="1"/>
  <c r="L32"/>
  <c r="M32" s="1"/>
  <c r="L42"/>
  <c r="M42" s="1"/>
  <c r="L24"/>
  <c r="M24" s="1"/>
  <c r="L36"/>
  <c r="M36" s="1"/>
  <c r="L18"/>
  <c r="M18" s="1"/>
  <c r="L41"/>
  <c r="M41" s="1"/>
  <c r="L39"/>
  <c r="M39" s="1"/>
  <c r="L23"/>
  <c r="M23" s="1"/>
  <c r="L35"/>
  <c r="M35" s="1"/>
  <c r="L31"/>
  <c r="M31" s="1"/>
  <c r="L28"/>
  <c r="M28" s="1"/>
  <c r="L27"/>
  <c r="M27" s="1"/>
  <c r="L22"/>
  <c r="M22" s="1"/>
  <c r="L34"/>
  <c r="M34" s="1"/>
  <c r="L40"/>
  <c r="M40" s="1"/>
  <c r="L26"/>
  <c r="M26" s="1"/>
  <c r="L21"/>
  <c r="M21" s="1"/>
  <c r="L33"/>
  <c r="M33" s="1"/>
  <c r="L12"/>
  <c r="M12" s="1"/>
  <c r="L13"/>
  <c r="M13" s="1"/>
  <c r="L14"/>
  <c r="M14" s="1"/>
  <c r="L7"/>
  <c r="M7" s="1"/>
  <c r="L8"/>
  <c r="M8" s="1"/>
  <c r="L10"/>
  <c r="M10" s="1"/>
  <c r="L15"/>
  <c r="M15" s="1"/>
  <c r="L9"/>
  <c r="M9" s="1"/>
  <c r="L11"/>
  <c r="M11" s="1"/>
  <c r="L16"/>
  <c r="M16" s="1"/>
  <c r="U19" i="7" l="1"/>
  <c r="U8"/>
  <c r="U47" l="1"/>
  <c r="AB47"/>
  <c r="AB19"/>
  <c r="AB8"/>
  <c r="J20" l="1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S30" l="1"/>
  <c r="I28" i="8"/>
  <c r="J28" s="1"/>
  <c r="S44" i="7"/>
  <c r="I42" i="8"/>
  <c r="J42" s="1"/>
  <c r="S29" i="7"/>
  <c r="I27" i="8"/>
  <c r="J27" s="1"/>
  <c r="S31" i="7"/>
  <c r="I29" i="8"/>
  <c r="J29" s="1"/>
  <c r="S40" i="7"/>
  <c r="I38" i="8"/>
  <c r="J38" s="1"/>
  <c r="S32" i="7"/>
  <c r="I30" i="8"/>
  <c r="J30" s="1"/>
  <c r="S28" i="7"/>
  <c r="I26" i="8"/>
  <c r="J26" s="1"/>
  <c r="S42" i="7"/>
  <c r="I40" i="8"/>
  <c r="J40" s="1"/>
  <c r="S38" i="7"/>
  <c r="I36" i="8"/>
  <c r="J36" s="1"/>
  <c r="S39" i="7"/>
  <c r="I37" i="8"/>
  <c r="J37" s="1"/>
  <c r="S41" i="7"/>
  <c r="I39" i="8"/>
  <c r="J39" s="1"/>
  <c r="S27" i="7"/>
  <c r="I25" i="8"/>
  <c r="J25" s="1"/>
  <c r="S26" i="7"/>
  <c r="I24" i="8"/>
  <c r="J24" s="1"/>
  <c r="S25" i="7"/>
  <c r="I23" i="8"/>
  <c r="J23" s="1"/>
  <c r="S36" i="7"/>
  <c r="I34" i="8"/>
  <c r="J34" s="1"/>
  <c r="S20" i="7"/>
  <c r="I18" i="8"/>
  <c r="J18" s="1"/>
  <c r="S22" i="7"/>
  <c r="I20" i="8"/>
  <c r="J20" s="1"/>
  <c r="S34" i="7"/>
  <c r="I32" i="8"/>
  <c r="J32" s="1"/>
  <c r="S46" i="7"/>
  <c r="I44" i="8"/>
  <c r="J44" s="1"/>
  <c r="S43" i="7"/>
  <c r="I41" i="8"/>
  <c r="J41" s="1"/>
  <c r="S37" i="7"/>
  <c r="I35" i="8"/>
  <c r="J35" s="1"/>
  <c r="S24" i="7"/>
  <c r="I22" i="8"/>
  <c r="J22" s="1"/>
  <c r="S23" i="7"/>
  <c r="I21" i="8"/>
  <c r="J21" s="1"/>
  <c r="S35" i="7"/>
  <c r="I33" i="8"/>
  <c r="J33" s="1"/>
  <c r="S21" i="7"/>
  <c r="I19" i="8"/>
  <c r="J19" s="1"/>
  <c r="S33" i="7"/>
  <c r="I31" i="8"/>
  <c r="J31" s="1"/>
  <c r="S45" i="7"/>
  <c r="I43" i="8"/>
  <c r="J43" s="1"/>
  <c r="S16" i="7"/>
  <c r="I14" i="8"/>
  <c r="J14" s="1"/>
  <c r="S12" i="7"/>
  <c r="I10" i="8"/>
  <c r="J10" s="1"/>
  <c r="S13" i="7"/>
  <c r="I11" i="8"/>
  <c r="J11" s="1"/>
  <c r="S14" i="7"/>
  <c r="I12" i="8"/>
  <c r="J12" s="1"/>
  <c r="S15" i="7"/>
  <c r="I13" i="8"/>
  <c r="J13" s="1"/>
  <c r="S18" i="7"/>
  <c r="I16" i="8"/>
  <c r="J16" s="1"/>
  <c r="S10" i="7"/>
  <c r="I8" i="8"/>
  <c r="J8" s="1"/>
  <c r="S17" i="7"/>
  <c r="I15" i="8"/>
  <c r="J15" s="1"/>
  <c r="S9" i="7"/>
  <c r="I7" i="8"/>
  <c r="J7" s="1"/>
  <c r="S11" i="7"/>
  <c r="I9" i="8"/>
  <c r="J9" s="1"/>
  <c r="AA19" i="7"/>
  <c r="AA8"/>
  <c r="C44" i="8"/>
  <c r="D44" s="1"/>
  <c r="C43"/>
  <c r="D43" s="1"/>
  <c r="C42"/>
  <c r="D42" s="1"/>
  <c r="O42" s="1"/>
  <c r="C41"/>
  <c r="D41" s="1"/>
  <c r="O41" s="1"/>
  <c r="C40"/>
  <c r="D40" s="1"/>
  <c r="O40" s="1"/>
  <c r="C39"/>
  <c r="D39" s="1"/>
  <c r="O39" s="1"/>
  <c r="C38"/>
  <c r="D38" s="1"/>
  <c r="O38" s="1"/>
  <c r="C37"/>
  <c r="D37" s="1"/>
  <c r="O37" s="1"/>
  <c r="C36"/>
  <c r="D36" s="1"/>
  <c r="C35"/>
  <c r="D35" s="1"/>
  <c r="C34"/>
  <c r="D34" s="1"/>
  <c r="C33"/>
  <c r="D33" s="1"/>
  <c r="O33" s="1"/>
  <c r="C32"/>
  <c r="D32" s="1"/>
  <c r="O32" s="1"/>
  <c r="C31"/>
  <c r="D31" s="1"/>
  <c r="C30"/>
  <c r="D30" s="1"/>
  <c r="O30" s="1"/>
  <c r="C29"/>
  <c r="D29" s="1"/>
  <c r="O29" s="1"/>
  <c r="C28"/>
  <c r="D28" s="1"/>
  <c r="O28" s="1"/>
  <c r="C27"/>
  <c r="D27" s="1"/>
  <c r="O27" s="1"/>
  <c r="C26"/>
  <c r="D26" s="1"/>
  <c r="C25"/>
  <c r="D25" s="1"/>
  <c r="O25" s="1"/>
  <c r="C24"/>
  <c r="D24" s="1"/>
  <c r="C23"/>
  <c r="D23" s="1"/>
  <c r="C22"/>
  <c r="D22" s="1"/>
  <c r="C21"/>
  <c r="D21" s="1"/>
  <c r="C20"/>
  <c r="D20" s="1"/>
  <c r="C19"/>
  <c r="D19" s="1"/>
  <c r="C18"/>
  <c r="D18" s="1"/>
  <c r="O18" s="1"/>
  <c r="C8"/>
  <c r="D8" s="1"/>
  <c r="C9"/>
  <c r="D9" s="1"/>
  <c r="C10"/>
  <c r="D10" s="1"/>
  <c r="C11"/>
  <c r="D11" s="1"/>
  <c r="O11" s="1"/>
  <c r="C12"/>
  <c r="D12" s="1"/>
  <c r="O12" s="1"/>
  <c r="C13"/>
  <c r="D13" s="1"/>
  <c r="O13" s="1"/>
  <c r="C14"/>
  <c r="D14" s="1"/>
  <c r="C15"/>
  <c r="D15" s="1"/>
  <c r="C16"/>
  <c r="D16" s="1"/>
  <c r="O16" s="1"/>
  <c r="C7"/>
  <c r="D7" s="1"/>
  <c r="V30" i="7" l="1"/>
  <c r="AF30" s="1"/>
  <c r="AJ30" s="1"/>
  <c r="T30"/>
  <c r="V42"/>
  <c r="AF42" s="1"/>
  <c r="AJ42" s="1"/>
  <c r="T42"/>
  <c r="V44"/>
  <c r="AF44" s="1"/>
  <c r="AJ44" s="1"/>
  <c r="T44"/>
  <c r="V25"/>
  <c r="AF25" s="1"/>
  <c r="AJ25" s="1"/>
  <c r="T25"/>
  <c r="V38"/>
  <c r="AF38" s="1"/>
  <c r="AJ38" s="1"/>
  <c r="T38"/>
  <c r="V29"/>
  <c r="AF29" s="1"/>
  <c r="AJ29" s="1"/>
  <c r="T29"/>
  <c r="O26" i="8"/>
  <c r="V28" i="7"/>
  <c r="AF28" s="1"/>
  <c r="AJ28" s="1"/>
  <c r="T28"/>
  <c r="V36"/>
  <c r="AF36" s="1"/>
  <c r="AJ36" s="1"/>
  <c r="T36"/>
  <c r="V39"/>
  <c r="AF39" s="1"/>
  <c r="AJ39" s="1"/>
  <c r="T39"/>
  <c r="V31"/>
  <c r="AF31" s="1"/>
  <c r="AJ31" s="1"/>
  <c r="T31"/>
  <c r="V26"/>
  <c r="AF26" s="1"/>
  <c r="AJ26" s="1"/>
  <c r="T26"/>
  <c r="O35" i="8"/>
  <c r="V21" i="7"/>
  <c r="AF21" s="1"/>
  <c r="AJ21" s="1"/>
  <c r="T21"/>
  <c r="V45"/>
  <c r="AF45" s="1"/>
  <c r="AJ45" s="1"/>
  <c r="T45"/>
  <c r="V23"/>
  <c r="AF23" s="1"/>
  <c r="AJ23" s="1"/>
  <c r="T23"/>
  <c r="V40"/>
  <c r="AF40" s="1"/>
  <c r="AJ40" s="1"/>
  <c r="T40"/>
  <c r="O36" i="8"/>
  <c r="V33" i="7"/>
  <c r="AF33" s="1"/>
  <c r="AJ33" s="1"/>
  <c r="T33"/>
  <c r="V46"/>
  <c r="AF46" s="1"/>
  <c r="AJ46" s="1"/>
  <c r="T46"/>
  <c r="V20"/>
  <c r="T20"/>
  <c r="V22"/>
  <c r="AF22" s="1"/>
  <c r="AJ22" s="1"/>
  <c r="T22"/>
  <c r="V35"/>
  <c r="AF35" s="1"/>
  <c r="AJ35" s="1"/>
  <c r="T35"/>
  <c r="V34"/>
  <c r="AF34" s="1"/>
  <c r="AJ34" s="1"/>
  <c r="T34"/>
  <c r="V32"/>
  <c r="AF32" s="1"/>
  <c r="AJ32" s="1"/>
  <c r="T32"/>
  <c r="O23" i="8"/>
  <c r="O34"/>
  <c r="O21"/>
  <c r="O20"/>
  <c r="V43" i="7"/>
  <c r="AF43" s="1"/>
  <c r="AJ43" s="1"/>
  <c r="T43"/>
  <c r="V37"/>
  <c r="AF37" s="1"/>
  <c r="AJ37" s="1"/>
  <c r="T37"/>
  <c r="V24"/>
  <c r="AF24" s="1"/>
  <c r="AJ24" s="1"/>
  <c r="T24"/>
  <c r="V41"/>
  <c r="AF41" s="1"/>
  <c r="AJ41" s="1"/>
  <c r="T41"/>
  <c r="V27"/>
  <c r="AF27" s="1"/>
  <c r="AJ27" s="1"/>
  <c r="T27"/>
  <c r="O24" i="8"/>
  <c r="O22"/>
  <c r="O44"/>
  <c r="O19"/>
  <c r="O31"/>
  <c r="O43"/>
  <c r="V16" i="7"/>
  <c r="AF16" s="1"/>
  <c r="AJ16" s="1"/>
  <c r="T16"/>
  <c r="V11"/>
  <c r="AF11" s="1"/>
  <c r="AJ11" s="1"/>
  <c r="T11"/>
  <c r="V17"/>
  <c r="AF17" s="1"/>
  <c r="AJ17" s="1"/>
  <c r="T17"/>
  <c r="O15" i="8"/>
  <c r="V12" i="7"/>
  <c r="AF12" s="1"/>
  <c r="AJ12" s="1"/>
  <c r="T12"/>
  <c r="V9"/>
  <c r="T9"/>
  <c r="V14"/>
  <c r="AF14" s="1"/>
  <c r="AJ14" s="1"/>
  <c r="T14"/>
  <c r="V18"/>
  <c r="AF18" s="1"/>
  <c r="AJ18" s="1"/>
  <c r="T18"/>
  <c r="V10"/>
  <c r="AF10" s="1"/>
  <c r="AJ10" s="1"/>
  <c r="T10"/>
  <c r="V13"/>
  <c r="AF13" s="1"/>
  <c r="AJ13" s="1"/>
  <c r="T13"/>
  <c r="V15"/>
  <c r="AF15" s="1"/>
  <c r="AJ15" s="1"/>
  <c r="T15"/>
  <c r="O14" i="8"/>
  <c r="O7"/>
  <c r="O8"/>
  <c r="O9"/>
  <c r="O10"/>
  <c r="AA47" i="7"/>
  <c r="Z19"/>
  <c r="Z8"/>
  <c r="Q26"/>
  <c r="AF20" l="1"/>
  <c r="AJ20" s="1"/>
  <c r="V19"/>
  <c r="AF9"/>
  <c r="V8"/>
  <c r="B33" i="8"/>
  <c r="B29"/>
  <c r="B34"/>
  <c r="B44"/>
  <c r="B43"/>
  <c r="B42"/>
  <c r="B28"/>
  <c r="B38"/>
  <c r="B31"/>
  <c r="B30"/>
  <c r="B41"/>
  <c r="B40"/>
  <c r="B39"/>
  <c r="B37"/>
  <c r="B32"/>
  <c r="B35"/>
  <c r="B36"/>
  <c r="B21"/>
  <c r="B20"/>
  <c r="B26"/>
  <c r="B25"/>
  <c r="B19"/>
  <c r="B18"/>
  <c r="B27"/>
  <c r="B23"/>
  <c r="B22"/>
  <c r="B24"/>
  <c r="B9"/>
  <c r="B8"/>
  <c r="B11"/>
  <c r="B10"/>
  <c r="B12"/>
  <c r="B14"/>
  <c r="B13"/>
  <c r="B15"/>
  <c r="B16"/>
  <c r="Z47" i="7"/>
  <c r="V47" l="1"/>
  <c r="K39" i="8"/>
  <c r="N39"/>
  <c r="K23"/>
  <c r="N23"/>
  <c r="K22"/>
  <c r="N22"/>
  <c r="K34"/>
  <c r="N34"/>
  <c r="K8"/>
  <c r="N8"/>
  <c r="K37"/>
  <c r="N37"/>
  <c r="K32"/>
  <c r="N32"/>
  <c r="K9"/>
  <c r="N9"/>
  <c r="K43"/>
  <c r="N43"/>
  <c r="K29"/>
  <c r="N29"/>
  <c r="K44"/>
  <c r="N44"/>
  <c r="K21"/>
  <c r="N21"/>
  <c r="K10"/>
  <c r="N10"/>
  <c r="K20"/>
  <c r="N20"/>
  <c r="K38"/>
  <c r="N38"/>
  <c r="K31"/>
  <c r="N31"/>
  <c r="K19"/>
  <c r="N19"/>
  <c r="K41"/>
  <c r="N41"/>
  <c r="K33"/>
  <c r="N33"/>
  <c r="K24"/>
  <c r="N24"/>
  <c r="K35"/>
  <c r="N35"/>
  <c r="K36"/>
  <c r="N36"/>
  <c r="K11"/>
  <c r="N11"/>
  <c r="K42"/>
  <c r="N42"/>
  <c r="K28"/>
  <c r="N28"/>
  <c r="K12"/>
  <c r="N12"/>
  <c r="K26"/>
  <c r="N26"/>
  <c r="K14"/>
  <c r="N14"/>
  <c r="K25"/>
  <c r="N25"/>
  <c r="K13"/>
  <c r="N13"/>
  <c r="K30"/>
  <c r="N30"/>
  <c r="K15"/>
  <c r="N15"/>
  <c r="K18"/>
  <c r="N18"/>
  <c r="K16"/>
  <c r="N16"/>
  <c r="K27"/>
  <c r="N27"/>
  <c r="K40"/>
  <c r="N40"/>
  <c r="E33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X8" i="7"/>
  <c r="Y8"/>
  <c r="X19"/>
  <c r="Y19"/>
  <c r="W47"/>
  <c r="W19"/>
  <c r="W8"/>
  <c r="Y47" l="1"/>
  <c r="X47"/>
  <c r="Q8" l="1"/>
  <c r="Q19"/>
  <c r="AF19" l="1"/>
  <c r="Q47"/>
  <c r="R19"/>
  <c r="R8"/>
  <c r="AG47"/>
  <c r="AH47"/>
  <c r="AI47"/>
  <c r="AF8" l="1"/>
  <c r="AF47" s="1"/>
  <c r="R47"/>
  <c r="S19" l="1"/>
  <c r="S8"/>
  <c r="AJ19" l="1"/>
  <c r="S47"/>
  <c r="AJ8"/>
  <c r="T19"/>
  <c r="T8"/>
  <c r="AJ47" l="1"/>
  <c r="T47"/>
  <c r="B7" i="8" l="1"/>
  <c r="N7" s="1"/>
  <c r="E7" l="1"/>
  <c r="E6" s="1"/>
  <c r="E45" s="1"/>
  <c r="K7"/>
  <c r="K6" s="1"/>
  <c r="H6"/>
  <c r="B17"/>
  <c r="H17"/>
  <c r="N17"/>
  <c r="K17"/>
  <c r="N6"/>
  <c r="B6"/>
  <c r="E17"/>
  <c r="K45" l="1"/>
  <c r="H45"/>
  <c r="N45"/>
  <c r="B45"/>
</calcChain>
</file>

<file path=xl/sharedStrings.xml><?xml version="1.0" encoding="utf-8"?>
<sst xmlns="http://schemas.openxmlformats.org/spreadsheetml/2006/main" count="380" uniqueCount="104">
  <si>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</si>
  <si>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</si>
  <si>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</si>
  <si>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</si>
  <si>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</si>
  <si>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</si>
  <si>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</si>
  <si>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</si>
  <si>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</si>
  <si>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</si>
  <si>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</si>
  <si>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</si>
  <si>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</si>
  <si>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</si>
  <si>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</si>
  <si>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</si>
  <si>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</si>
  <si>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</si>
  <si>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</si>
  <si>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</si>
  <si>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</si>
  <si>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</si>
  <si>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</si>
  <si>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</si>
  <si>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</si>
  <si>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</si>
  <si>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</si>
  <si>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</si>
  <si>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</si>
  <si>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</si>
  <si>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</si>
  <si>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</si>
  <si>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</si>
  <si>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</si>
  <si>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</si>
  <si>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</si>
  <si>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</si>
  <si>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</si>
  <si>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</si>
  <si>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</si>
  <si>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</si>
  <si>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</si>
  <si>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</si>
  <si>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</si>
  <si>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</si>
  <si>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</si>
  <si>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</si>
  <si>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</si>
  <si>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</si>
  <si>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</si>
  <si>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</si>
  <si>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</si>
  <si>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</si>
  <si>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</si>
  <si>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</si>
  <si>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</si>
  <si>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</si>
  <si>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</si>
  <si>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</si>
  <si>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</si>
  <si>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</si>
  <si>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</si>
  <si>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</si>
  <si>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</si>
  <si>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</si>
  <si>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</si>
  <si>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</si>
  <si>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</si>
  <si>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</si>
  <si>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</si>
  <si>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</si>
  <si>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н/д</t>
  </si>
  <si>
    <t>14=13/12</t>
  </si>
  <si>
    <t>19=16*18</t>
  </si>
  <si>
    <t>20=19-18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</si>
  <si>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</si>
  <si>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</si>
  <si>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</si>
  <si>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</si>
  <si>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</si>
  <si>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</si>
  <si>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</si>
  <si>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</si>
  <si>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01.04.2024)</t>
    </r>
  </si>
  <si>
    <t>за март</t>
  </si>
  <si>
    <t>за апрель</t>
  </si>
  <si>
    <t>Распределение за отчетный период с учетом удержания, тыс. рублей</t>
  </si>
  <si>
    <t>22=19-21</t>
  </si>
  <si>
    <t>за май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</si>
  <si>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01.08.2024)</t>
  </si>
  <si>
    <t>за июнь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</si>
  <si>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01.07.2024)</t>
    </r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</si>
  <si>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01.07.2024)</t>
    </r>
  </si>
  <si>
    <t>за 8 месяцев 2024 года</t>
  </si>
  <si>
    <t>за июль</t>
  </si>
  <si>
    <t>18=17/11мес.*8</t>
  </si>
  <si>
    <t>Удержание дотаций 
в 2024 году в связи с исполнением показателей 
за 2023 год 
(4/5 от суммы взысканя), 
тыс. рублей</t>
  </si>
  <si>
    <t>Распределение дотаций за август за вычетом ранее предоставленных дотаций, тыс. рублей</t>
  </si>
  <si>
    <t>32=22-(23+...+31)</t>
  </si>
  <si>
    <t>непривлечение кредитов кредитных организаций в августе 2024 года</t>
  </si>
  <si>
    <t>МО, муниципальный долг которых на 01.09.2024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</si>
  <si>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августе 2024 года (не применяется если объем долга на 01.09.2024 не превышает его объем по состоянию на начало 2024 года)</t>
  </si>
  <si>
    <t>Распределение дотаций за август с учетом выполнения условий предоставления дотаций</t>
  </si>
  <si>
    <t>Факторный анализ влияния отдельных показателей на итоговое распределение за 8 месяцев 2024 года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</si>
</sst>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9"/>
      <color rgb="FFFF0000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166" fontId="17" fillId="12" borderId="3" xfId="44" applyNumberFormat="1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Q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8554687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3.7109375" style="1" customWidth="1"/>
    <col min="19" max="19" width="13.5703125" style="1" customWidth="1"/>
    <col min="20" max="20" width="14.28515625" style="1" customWidth="1"/>
    <col min="21" max="21" width="13.85546875" style="1" customWidth="1"/>
    <col min="22" max="22" width="14.28515625" style="1" customWidth="1"/>
    <col min="23" max="23" width="13" style="1" customWidth="1"/>
    <col min="24" max="24" width="12.28515625" style="1" customWidth="1"/>
    <col min="25" max="31" width="13.5703125" style="1" customWidth="1"/>
    <col min="32" max="32" width="15.140625" style="1" customWidth="1"/>
    <col min="33" max="33" width="18.42578125" style="1" customWidth="1"/>
    <col min="34" max="34" width="18.85546875" style="1" customWidth="1"/>
    <col min="35" max="35" width="21.140625" style="1" customWidth="1"/>
    <col min="36" max="36" width="14" style="1" customWidth="1"/>
    <col min="37" max="37" width="36.28515625" style="1" bestFit="1" customWidth="1"/>
    <col min="38" max="38" width="13.7109375" style="1" bestFit="1" customWidth="1"/>
    <col min="39" max="39" width="12.5703125" style="1" bestFit="1" customWidth="1"/>
    <col min="40" max="40" width="10.5703125" style="1" bestFit="1" customWidth="1"/>
    <col min="41" max="16384" width="9.140625" style="1"/>
  </cols>
  <sheetData>
    <row r="1" spans="1:43" ht="21.75" customHeight="1">
      <c r="B1" s="63" t="s">
        <v>53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</row>
    <row r="2" spans="1:43" ht="15.75">
      <c r="A2" s="35" t="s">
        <v>93</v>
      </c>
    </row>
    <row r="3" spans="1:43" ht="25.5" customHeight="1">
      <c r="A3" s="70" t="s">
        <v>15</v>
      </c>
      <c r="B3" s="80" t="s">
        <v>89</v>
      </c>
      <c r="C3" s="80"/>
      <c r="D3" s="67" t="s">
        <v>91</v>
      </c>
      <c r="E3" s="67"/>
      <c r="F3" s="67"/>
      <c r="G3" s="67"/>
      <c r="H3" s="67" t="s">
        <v>83</v>
      </c>
      <c r="I3" s="67"/>
      <c r="J3" s="67"/>
      <c r="K3" s="67"/>
      <c r="L3" s="67" t="s">
        <v>92</v>
      </c>
      <c r="M3" s="67"/>
      <c r="N3" s="67"/>
      <c r="O3" s="67"/>
      <c r="P3" s="79" t="s">
        <v>47</v>
      </c>
      <c r="Q3" s="78" t="s">
        <v>57</v>
      </c>
      <c r="R3" s="70" t="s">
        <v>58</v>
      </c>
      <c r="S3" s="70" t="s">
        <v>59</v>
      </c>
      <c r="T3" s="68" t="s">
        <v>60</v>
      </c>
      <c r="U3" s="68" t="s">
        <v>96</v>
      </c>
      <c r="V3" s="68" t="s">
        <v>86</v>
      </c>
      <c r="W3" s="72" t="s">
        <v>62</v>
      </c>
      <c r="X3" s="73"/>
      <c r="Y3" s="73"/>
      <c r="Z3" s="73"/>
      <c r="AA3" s="73"/>
      <c r="AB3" s="73"/>
      <c r="AC3" s="73"/>
      <c r="AD3" s="73"/>
      <c r="AE3" s="74"/>
      <c r="AF3" s="70" t="s">
        <v>97</v>
      </c>
      <c r="AG3" s="66" t="s">
        <v>56</v>
      </c>
      <c r="AH3" s="66"/>
      <c r="AI3" s="66"/>
      <c r="AJ3" s="70" t="s">
        <v>102</v>
      </c>
    </row>
    <row r="4" spans="1:43" ht="42.75" customHeight="1">
      <c r="A4" s="70"/>
      <c r="B4" s="80"/>
      <c r="C4" s="80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79"/>
      <c r="Q4" s="78"/>
      <c r="R4" s="70"/>
      <c r="S4" s="70"/>
      <c r="T4" s="71"/>
      <c r="U4" s="71"/>
      <c r="V4" s="71"/>
      <c r="W4" s="75"/>
      <c r="X4" s="76"/>
      <c r="Y4" s="76"/>
      <c r="Z4" s="76"/>
      <c r="AA4" s="76"/>
      <c r="AB4" s="76"/>
      <c r="AC4" s="76"/>
      <c r="AD4" s="76"/>
      <c r="AE4" s="77"/>
      <c r="AF4" s="70"/>
      <c r="AG4" s="66" t="s">
        <v>99</v>
      </c>
      <c r="AH4" s="66"/>
      <c r="AI4" s="66" t="s">
        <v>101</v>
      </c>
      <c r="AJ4" s="70"/>
    </row>
    <row r="5" spans="1:43" ht="87" customHeight="1">
      <c r="A5" s="70"/>
      <c r="B5" s="80"/>
      <c r="C5" s="80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9"/>
      <c r="Q5" s="78"/>
      <c r="R5" s="70"/>
      <c r="S5" s="70"/>
      <c r="T5" s="71"/>
      <c r="U5" s="71"/>
      <c r="V5" s="71"/>
      <c r="W5" s="70" t="s">
        <v>63</v>
      </c>
      <c r="X5" s="68" t="s">
        <v>64</v>
      </c>
      <c r="Y5" s="70" t="s">
        <v>65</v>
      </c>
      <c r="Z5" s="68" t="s">
        <v>75</v>
      </c>
      <c r="AA5" s="68" t="s">
        <v>84</v>
      </c>
      <c r="AB5" s="68" t="s">
        <v>85</v>
      </c>
      <c r="AC5" s="68" t="s">
        <v>88</v>
      </c>
      <c r="AD5" s="68" t="s">
        <v>90</v>
      </c>
      <c r="AE5" s="68" t="s">
        <v>94</v>
      </c>
      <c r="AF5" s="70"/>
      <c r="AG5" s="66" t="s">
        <v>61</v>
      </c>
      <c r="AH5" s="66" t="s">
        <v>100</v>
      </c>
      <c r="AI5" s="66"/>
      <c r="AJ5" s="70"/>
    </row>
    <row r="6" spans="1:43" ht="52.5" customHeight="1">
      <c r="A6" s="70"/>
      <c r="B6" s="43" t="s">
        <v>48</v>
      </c>
      <c r="C6" s="43" t="s">
        <v>16</v>
      </c>
      <c r="D6" s="51" t="s">
        <v>66</v>
      </c>
      <c r="E6" s="51" t="s">
        <v>67</v>
      </c>
      <c r="F6" s="51" t="s">
        <v>68</v>
      </c>
      <c r="G6" s="51" t="s">
        <v>16</v>
      </c>
      <c r="H6" s="51" t="s">
        <v>66</v>
      </c>
      <c r="I6" s="51" t="s">
        <v>67</v>
      </c>
      <c r="J6" s="51" t="s">
        <v>68</v>
      </c>
      <c r="K6" s="51" t="s">
        <v>16</v>
      </c>
      <c r="L6" s="51" t="s">
        <v>66</v>
      </c>
      <c r="M6" s="51" t="s">
        <v>67</v>
      </c>
      <c r="N6" s="51" t="s">
        <v>68</v>
      </c>
      <c r="O6" s="51" t="s">
        <v>16</v>
      </c>
      <c r="P6" s="79"/>
      <c r="Q6" s="78"/>
      <c r="R6" s="70"/>
      <c r="S6" s="70"/>
      <c r="T6" s="69"/>
      <c r="U6" s="69"/>
      <c r="V6" s="69"/>
      <c r="W6" s="70"/>
      <c r="X6" s="69"/>
      <c r="Y6" s="70"/>
      <c r="Z6" s="69"/>
      <c r="AA6" s="69"/>
      <c r="AB6" s="69"/>
      <c r="AC6" s="69"/>
      <c r="AD6" s="69"/>
      <c r="AE6" s="69"/>
      <c r="AF6" s="70"/>
      <c r="AG6" s="66"/>
      <c r="AH6" s="66"/>
      <c r="AI6" s="66"/>
      <c r="AJ6" s="70"/>
    </row>
    <row r="7" spans="1:4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 t="s">
        <v>72</v>
      </c>
      <c r="O7" s="13">
        <v>15</v>
      </c>
      <c r="P7" s="13">
        <v>16</v>
      </c>
      <c r="Q7" s="13">
        <v>17</v>
      </c>
      <c r="R7" s="49" t="s">
        <v>95</v>
      </c>
      <c r="S7" s="13" t="s">
        <v>73</v>
      </c>
      <c r="T7" s="13" t="s">
        <v>74</v>
      </c>
      <c r="U7" s="13">
        <v>21</v>
      </c>
      <c r="V7" s="13" t="s">
        <v>87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49" t="s">
        <v>98</v>
      </c>
      <c r="AG7" s="13">
        <v>33</v>
      </c>
      <c r="AH7" s="13">
        <v>34</v>
      </c>
      <c r="AI7" s="13">
        <v>35</v>
      </c>
      <c r="AJ7" s="13">
        <v>36</v>
      </c>
      <c r="AK7" s="1"/>
      <c r="AL7" s="1"/>
      <c r="AM7" s="1"/>
      <c r="AN7" s="1"/>
      <c r="AO7" s="1"/>
      <c r="AP7" s="1"/>
      <c r="AQ7" s="1"/>
    </row>
    <row r="8" spans="1:43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61">
        <f>SUM(L9:L18)</f>
        <v>785968</v>
      </c>
      <c r="M8" s="61">
        <f>SUM(M9:M18)</f>
        <v>462468</v>
      </c>
      <c r="N8" s="52">
        <f>IF(M8/L8&gt;1.2,IF((M8/L8-1.2)*0.1+1.2&gt;1.3,1.3,(M8/L8-1.2)*0.1+1.2),M8/L8)</f>
        <v>0.58840563483500596</v>
      </c>
      <c r="O8" s="9"/>
      <c r="P8" s="10"/>
      <c r="Q8" s="45">
        <f t="shared" ref="Q8:AF8" si="0">SUM(Q9:Q18)</f>
        <v>1909020</v>
      </c>
      <c r="R8" s="18">
        <f t="shared" si="0"/>
        <v>1388378.3000000003</v>
      </c>
      <c r="S8" s="18">
        <f t="shared" si="0"/>
        <v>1207815.5</v>
      </c>
      <c r="T8" s="18">
        <f t="shared" si="0"/>
        <v>-180562.80000000005</v>
      </c>
      <c r="U8" s="18">
        <f t="shared" ref="U8:V8" si="1">SUM(U9:U18)</f>
        <v>52377.900000000009</v>
      </c>
      <c r="V8" s="18">
        <f t="shared" si="1"/>
        <v>1155437.5999999999</v>
      </c>
      <c r="W8" s="18">
        <f t="shared" si="0"/>
        <v>0</v>
      </c>
      <c r="X8" s="18">
        <f t="shared" si="0"/>
        <v>173158.3</v>
      </c>
      <c r="Y8" s="18">
        <f t="shared" si="0"/>
        <v>0</v>
      </c>
      <c r="Z8" s="18">
        <f t="shared" si="0"/>
        <v>173158.39999999999</v>
      </c>
      <c r="AA8" s="18">
        <f t="shared" si="0"/>
        <v>174325</v>
      </c>
      <c r="AB8" s="18">
        <f t="shared" si="0"/>
        <v>157913.09999999998</v>
      </c>
      <c r="AC8" s="18">
        <f t="shared" si="0"/>
        <v>112549.3</v>
      </c>
      <c r="AD8" s="18">
        <f t="shared" si="0"/>
        <v>120554.00000000001</v>
      </c>
      <c r="AE8" s="18">
        <f t="shared" si="0"/>
        <v>109828.5</v>
      </c>
      <c r="AF8" s="18">
        <f t="shared" si="0"/>
        <v>133951</v>
      </c>
      <c r="AG8" s="18"/>
      <c r="AH8" s="18"/>
      <c r="AI8" s="18"/>
      <c r="AJ8" s="18">
        <f>SUM(AJ9:AJ18)</f>
        <v>133951</v>
      </c>
      <c r="AK8" s="1"/>
      <c r="AL8" s="1"/>
      <c r="AM8" s="1"/>
      <c r="AN8" s="36"/>
      <c r="AO8" s="36"/>
      <c r="AP8" s="36"/>
      <c r="AQ8" s="36"/>
    </row>
    <row r="9" spans="1:43" s="2" customFormat="1" ht="16.5" customHeight="1">
      <c r="A9" s="5" t="s">
        <v>5</v>
      </c>
      <c r="B9" s="4">
        <v>1</v>
      </c>
      <c r="C9" s="4">
        <v>10</v>
      </c>
      <c r="D9" s="4" t="s">
        <v>71</v>
      </c>
      <c r="E9" s="4" t="s">
        <v>71</v>
      </c>
      <c r="F9" s="4" t="s">
        <v>71</v>
      </c>
      <c r="G9" s="4">
        <v>15</v>
      </c>
      <c r="H9" s="4">
        <v>200</v>
      </c>
      <c r="I9" s="41">
        <v>186</v>
      </c>
      <c r="J9" s="60">
        <f>IF(K9=0,0,IF(H9=0,1,IF(I9&lt;0,0,IF(I9/H9&gt;1.2,IF((I9/H9-1.2)*0.1+1.2&gt;1.3,1.3,(I9/H9-1.2)*0.1+1.2),I9/H9))))</f>
        <v>0.93</v>
      </c>
      <c r="K9" s="4">
        <v>20</v>
      </c>
      <c r="L9" s="4">
        <v>588634</v>
      </c>
      <c r="M9" s="4">
        <v>330926</v>
      </c>
      <c r="N9" s="60">
        <f>IF(O9=0,0,IF(L9=0,1,IF(M9&lt;0,0,IF(M9/L9&gt;1.2,IF((M9/L9-1.2)*0.1+1.2&gt;1.3,1.3,(M9/L9-1.2)*0.1+1.2),M9/L9))))</f>
        <v>0.56219314548598964</v>
      </c>
      <c r="O9" s="4">
        <v>15</v>
      </c>
      <c r="P9" s="24">
        <f>(B9*C9+J9*K9+N9*O9)/(C9+K9+O9)</f>
        <v>0.82295327071755209</v>
      </c>
      <c r="Q9" s="48">
        <f>511476+4278</f>
        <v>515754</v>
      </c>
      <c r="R9" s="19">
        <f>ROUND(Q9/11*8,1)</f>
        <v>375093.8</v>
      </c>
      <c r="S9" s="19">
        <f>ROUND(P9*R9,1)</f>
        <v>308684.7</v>
      </c>
      <c r="T9" s="19">
        <f>S9-R9</f>
        <v>-66409.099999999977</v>
      </c>
      <c r="U9" s="19">
        <v>11575.4</v>
      </c>
      <c r="V9" s="19">
        <f>S9-U9</f>
        <v>297109.3</v>
      </c>
      <c r="W9" s="19"/>
      <c r="X9" s="19">
        <v>46497.8</v>
      </c>
      <c r="Y9" s="19"/>
      <c r="Z9" s="19">
        <v>46497.8</v>
      </c>
      <c r="AA9" s="19">
        <v>47664.6</v>
      </c>
      <c r="AB9" s="19">
        <v>37342.6</v>
      </c>
      <c r="AC9" s="19">
        <v>31294.2</v>
      </c>
      <c r="AD9" s="19">
        <v>39544.5</v>
      </c>
      <c r="AE9" s="19">
        <v>11652.2</v>
      </c>
      <c r="AF9" s="19">
        <f>ROUND(V9-SUM(W9:AE9),1)</f>
        <v>36615.599999999999</v>
      </c>
      <c r="AG9" s="41"/>
      <c r="AH9" s="41"/>
      <c r="AI9" s="42"/>
      <c r="AJ9" s="19">
        <f>IF(OR(AG9="+",AH9="+",AI9="+"),0,IF(AF9&lt;0,0,AF9))</f>
        <v>36615.599999999999</v>
      </c>
      <c r="AK9" s="1"/>
      <c r="AL9" s="1"/>
      <c r="AM9" s="1"/>
      <c r="AN9" s="36"/>
      <c r="AO9" s="36"/>
      <c r="AP9" s="36"/>
      <c r="AQ9" s="1"/>
    </row>
    <row r="10" spans="1:43" s="2" customFormat="1" ht="17.100000000000001" customHeight="1">
      <c r="A10" s="5" t="s">
        <v>6</v>
      </c>
      <c r="B10" s="4">
        <v>1</v>
      </c>
      <c r="C10" s="4">
        <v>10</v>
      </c>
      <c r="D10" s="4" t="s">
        <v>71</v>
      </c>
      <c r="E10" s="4" t="s">
        <v>71</v>
      </c>
      <c r="F10" s="4" t="s">
        <v>71</v>
      </c>
      <c r="G10" s="4">
        <v>15</v>
      </c>
      <c r="H10" s="4">
        <v>200</v>
      </c>
      <c r="I10" s="41">
        <v>196.9</v>
      </c>
      <c r="J10" s="60">
        <f t="shared" ref="J10:J17" si="2">IF(K10=0,0,IF(H10=0,1,IF(I10&lt;0,0,IF(I10/H10&gt;1.2,IF((I10/H10-1.2)*0.1+1.2&gt;1.3,1.3,(I10/H10-1.2)*0.1+1.2),I10/H10))))</f>
        <v>0.98450000000000004</v>
      </c>
      <c r="K10" s="4">
        <v>20</v>
      </c>
      <c r="L10" s="4">
        <v>115798</v>
      </c>
      <c r="M10" s="4">
        <v>24891</v>
      </c>
      <c r="N10" s="60">
        <f t="shared" ref="N10:N45" si="3">IF(O10=0,0,IF(L10=0,1,IF(M10&lt;0,0,IF(M10/L10&gt;1.2,IF((M10/L10-1.2)*0.1+1.2&gt;1.3,1.3,(M10/L10-1.2)*0.1+1.2),M10/L10))))</f>
        <v>0.21495189899652845</v>
      </c>
      <c r="O10" s="4">
        <v>15</v>
      </c>
      <c r="P10" s="24">
        <f t="shared" ref="P10:P18" si="4">(B10*C10+J10*K10+N10*O10)/(C10+K10+O10)</f>
        <v>0.73142841077662069</v>
      </c>
      <c r="Q10" s="48">
        <v>615720</v>
      </c>
      <c r="R10" s="19">
        <f t="shared" ref="R10:R45" si="5">ROUND(Q10/11*8,1)</f>
        <v>447796.4</v>
      </c>
      <c r="S10" s="19">
        <f t="shared" ref="S10:S18" si="6">ROUND(P10*R10,1)</f>
        <v>327531</v>
      </c>
      <c r="T10" s="19">
        <f t="shared" ref="T10:T18" si="7">S10-R10</f>
        <v>-120265.40000000002</v>
      </c>
      <c r="U10" s="19">
        <v>22356.400000000001</v>
      </c>
      <c r="V10" s="19">
        <f t="shared" ref="V10:V18" si="8">S10-U10</f>
        <v>305174.59999999998</v>
      </c>
      <c r="W10" s="19"/>
      <c r="X10" s="19">
        <v>55974.5</v>
      </c>
      <c r="Y10" s="19"/>
      <c r="Z10" s="19">
        <v>55974.6</v>
      </c>
      <c r="AA10" s="19">
        <v>55974.5</v>
      </c>
      <c r="AB10" s="19">
        <v>55285.7</v>
      </c>
      <c r="AC10" s="19">
        <v>0</v>
      </c>
      <c r="AD10" s="19">
        <v>12979.2</v>
      </c>
      <c r="AE10" s="19">
        <v>35529.300000000003</v>
      </c>
      <c r="AF10" s="19">
        <f t="shared" ref="AF10:AF46" si="9">ROUND(V10-SUM(W10:AE10),1)</f>
        <v>33456.800000000003</v>
      </c>
      <c r="AG10" s="41"/>
      <c r="AH10" s="41"/>
      <c r="AI10" s="42"/>
      <c r="AJ10" s="19">
        <f t="shared" ref="AJ10:AJ46" si="10">IF(OR(AG10="+",AH10="+",AI10="+"),0,IF(AF10&lt;0,0,AF10))</f>
        <v>33456.800000000003</v>
      </c>
      <c r="AK10" s="1"/>
      <c r="AL10" s="1"/>
      <c r="AM10" s="1"/>
      <c r="AN10" s="36"/>
      <c r="AO10" s="36"/>
      <c r="AP10" s="36"/>
      <c r="AQ10" s="1"/>
    </row>
    <row r="11" spans="1:43" s="2" customFormat="1" ht="17.100000000000001" customHeight="1">
      <c r="A11" s="5" t="s">
        <v>7</v>
      </c>
      <c r="B11" s="4">
        <v>1</v>
      </c>
      <c r="C11" s="4">
        <v>10</v>
      </c>
      <c r="D11" s="4" t="s">
        <v>71</v>
      </c>
      <c r="E11" s="4" t="s">
        <v>71</v>
      </c>
      <c r="F11" s="4" t="s">
        <v>71</v>
      </c>
      <c r="G11" s="4">
        <v>15</v>
      </c>
      <c r="H11" s="4">
        <v>200</v>
      </c>
      <c r="I11" s="41">
        <v>193</v>
      </c>
      <c r="J11" s="60">
        <f t="shared" si="2"/>
        <v>0.96499999999999997</v>
      </c>
      <c r="K11" s="4">
        <v>20</v>
      </c>
      <c r="L11" s="4">
        <v>19094</v>
      </c>
      <c r="M11" s="4">
        <v>18943</v>
      </c>
      <c r="N11" s="60">
        <f t="shared" si="3"/>
        <v>0.9920917565727454</v>
      </c>
      <c r="O11" s="4">
        <v>15</v>
      </c>
      <c r="P11" s="24">
        <f t="shared" si="4"/>
        <v>0.98180836330202625</v>
      </c>
      <c r="Q11" s="48">
        <v>201240</v>
      </c>
      <c r="R11" s="19">
        <f t="shared" si="5"/>
        <v>146356.4</v>
      </c>
      <c r="S11" s="19">
        <f t="shared" si="6"/>
        <v>143693.9</v>
      </c>
      <c r="T11" s="19">
        <f t="shared" si="7"/>
        <v>-2662.5</v>
      </c>
      <c r="U11" s="19">
        <v>5541.8</v>
      </c>
      <c r="V11" s="19">
        <f t="shared" si="8"/>
        <v>138152.1</v>
      </c>
      <c r="W11" s="19"/>
      <c r="X11" s="19">
        <v>18294.5</v>
      </c>
      <c r="Y11" s="19"/>
      <c r="Z11" s="19">
        <v>18294.599999999999</v>
      </c>
      <c r="AA11" s="19">
        <v>18294.5</v>
      </c>
      <c r="AB11" s="19">
        <v>17063.7</v>
      </c>
      <c r="AC11" s="19">
        <v>18551.5</v>
      </c>
      <c r="AD11" s="19">
        <v>16991.3</v>
      </c>
      <c r="AE11" s="19">
        <v>14641.8</v>
      </c>
      <c r="AF11" s="19">
        <f t="shared" si="9"/>
        <v>16020.2</v>
      </c>
      <c r="AG11" s="41"/>
      <c r="AH11" s="41"/>
      <c r="AI11" s="42"/>
      <c r="AJ11" s="19">
        <f t="shared" si="10"/>
        <v>16020.2</v>
      </c>
      <c r="AK11" s="1"/>
      <c r="AL11" s="1"/>
      <c r="AM11" s="1"/>
      <c r="AN11" s="36"/>
      <c r="AO11" s="36"/>
      <c r="AP11" s="36"/>
      <c r="AQ11" s="1"/>
    </row>
    <row r="12" spans="1:43" s="2" customFormat="1" ht="17.100000000000001" customHeight="1">
      <c r="A12" s="5" t="s">
        <v>8</v>
      </c>
      <c r="B12" s="4">
        <v>1</v>
      </c>
      <c r="C12" s="4">
        <v>10</v>
      </c>
      <c r="D12" s="4" t="s">
        <v>71</v>
      </c>
      <c r="E12" s="4" t="s">
        <v>71</v>
      </c>
      <c r="F12" s="4" t="s">
        <v>71</v>
      </c>
      <c r="G12" s="4">
        <v>15</v>
      </c>
      <c r="H12" s="4">
        <v>200</v>
      </c>
      <c r="I12" s="41">
        <v>197.7</v>
      </c>
      <c r="J12" s="60">
        <f t="shared" si="2"/>
        <v>0.98849999999999993</v>
      </c>
      <c r="K12" s="4">
        <v>20</v>
      </c>
      <c r="L12" s="4">
        <v>12798</v>
      </c>
      <c r="M12" s="4">
        <v>14021</v>
      </c>
      <c r="N12" s="60">
        <f t="shared" si="3"/>
        <v>1.0955618065322708</v>
      </c>
      <c r="O12" s="4">
        <v>15</v>
      </c>
      <c r="P12" s="24">
        <f t="shared" si="4"/>
        <v>1.0267428243996457</v>
      </c>
      <c r="Q12" s="48">
        <v>114191</v>
      </c>
      <c r="R12" s="19">
        <f t="shared" si="5"/>
        <v>83048</v>
      </c>
      <c r="S12" s="19">
        <f t="shared" si="6"/>
        <v>85268.9</v>
      </c>
      <c r="T12" s="19">
        <f t="shared" si="7"/>
        <v>2220.8999999999942</v>
      </c>
      <c r="U12" s="19">
        <v>3643</v>
      </c>
      <c r="V12" s="19">
        <f t="shared" si="8"/>
        <v>81625.899999999994</v>
      </c>
      <c r="W12" s="19"/>
      <c r="X12" s="19">
        <v>10381</v>
      </c>
      <c r="Y12" s="19"/>
      <c r="Z12" s="19">
        <v>10381</v>
      </c>
      <c r="AA12" s="19">
        <v>10381</v>
      </c>
      <c r="AB12" s="19">
        <v>9916.7999999999993</v>
      </c>
      <c r="AC12" s="19">
        <v>13426.9</v>
      </c>
      <c r="AD12" s="19">
        <v>10168.6</v>
      </c>
      <c r="AE12" s="19">
        <v>7052.6</v>
      </c>
      <c r="AF12" s="19">
        <f t="shared" si="9"/>
        <v>9918</v>
      </c>
      <c r="AG12" s="41"/>
      <c r="AH12" s="41"/>
      <c r="AI12" s="42"/>
      <c r="AJ12" s="19">
        <f t="shared" si="10"/>
        <v>9918</v>
      </c>
      <c r="AK12" s="1"/>
      <c r="AL12" s="1"/>
      <c r="AM12" s="1"/>
      <c r="AN12" s="36"/>
      <c r="AO12" s="36"/>
      <c r="AP12" s="36"/>
      <c r="AQ12" s="1"/>
    </row>
    <row r="13" spans="1:43" s="2" customFormat="1" ht="17.100000000000001" customHeight="1">
      <c r="A13" s="5" t="s">
        <v>9</v>
      </c>
      <c r="B13" s="4">
        <v>1</v>
      </c>
      <c r="C13" s="4">
        <v>10</v>
      </c>
      <c r="D13" s="4" t="s">
        <v>71</v>
      </c>
      <c r="E13" s="4" t="s">
        <v>71</v>
      </c>
      <c r="F13" s="4" t="s">
        <v>71</v>
      </c>
      <c r="G13" s="4">
        <v>15</v>
      </c>
      <c r="H13" s="4">
        <v>200</v>
      </c>
      <c r="I13" s="41">
        <v>176</v>
      </c>
      <c r="J13" s="60">
        <f t="shared" si="2"/>
        <v>0.88</v>
      </c>
      <c r="K13" s="4">
        <v>20</v>
      </c>
      <c r="L13" s="4">
        <v>6364</v>
      </c>
      <c r="M13" s="4">
        <v>14559</v>
      </c>
      <c r="N13" s="60">
        <f t="shared" si="3"/>
        <v>1.3</v>
      </c>
      <c r="O13" s="4">
        <v>15</v>
      </c>
      <c r="P13" s="24">
        <f t="shared" si="4"/>
        <v>1.0466666666666666</v>
      </c>
      <c r="Q13" s="48">
        <v>94110</v>
      </c>
      <c r="R13" s="19">
        <f t="shared" si="5"/>
        <v>68443.600000000006</v>
      </c>
      <c r="S13" s="19">
        <f t="shared" si="6"/>
        <v>71637.600000000006</v>
      </c>
      <c r="T13" s="19">
        <f t="shared" si="7"/>
        <v>3194</v>
      </c>
      <c r="U13" s="19"/>
      <c r="V13" s="19">
        <f t="shared" si="8"/>
        <v>71637.600000000006</v>
      </c>
      <c r="W13" s="19"/>
      <c r="X13" s="19">
        <v>8555.5</v>
      </c>
      <c r="Y13" s="19"/>
      <c r="Z13" s="19">
        <v>8555.4</v>
      </c>
      <c r="AA13" s="19">
        <v>8555.5</v>
      </c>
      <c r="AB13" s="19">
        <v>6919.1</v>
      </c>
      <c r="AC13" s="19">
        <v>13105.9</v>
      </c>
      <c r="AD13" s="19">
        <v>9138.2999999999993</v>
      </c>
      <c r="AE13" s="19">
        <v>9138.2999999999993</v>
      </c>
      <c r="AF13" s="19">
        <f t="shared" si="9"/>
        <v>7669.6</v>
      </c>
      <c r="AG13" s="41"/>
      <c r="AH13" s="41"/>
      <c r="AI13" s="42"/>
      <c r="AJ13" s="19">
        <f t="shared" si="10"/>
        <v>7669.6</v>
      </c>
      <c r="AK13" s="1"/>
      <c r="AL13" s="1"/>
      <c r="AM13" s="1"/>
      <c r="AN13" s="36"/>
      <c r="AO13" s="36"/>
      <c r="AP13" s="36"/>
      <c r="AQ13" s="1"/>
    </row>
    <row r="14" spans="1:43" s="2" customFormat="1" ht="17.100000000000001" customHeight="1">
      <c r="A14" s="5" t="s">
        <v>10</v>
      </c>
      <c r="B14" s="4">
        <v>1</v>
      </c>
      <c r="C14" s="4">
        <v>10</v>
      </c>
      <c r="D14" s="4" t="s">
        <v>71</v>
      </c>
      <c r="E14" s="4" t="s">
        <v>71</v>
      </c>
      <c r="F14" s="4" t="s">
        <v>71</v>
      </c>
      <c r="G14" s="4">
        <v>15</v>
      </c>
      <c r="H14" s="4">
        <v>200</v>
      </c>
      <c r="I14" s="41">
        <v>184</v>
      </c>
      <c r="J14" s="60">
        <f t="shared" si="2"/>
        <v>0.92</v>
      </c>
      <c r="K14" s="4">
        <v>20</v>
      </c>
      <c r="L14" s="4">
        <v>4950</v>
      </c>
      <c r="M14" s="4">
        <v>4202</v>
      </c>
      <c r="N14" s="60">
        <f t="shared" si="3"/>
        <v>0.84888888888888892</v>
      </c>
      <c r="O14" s="4">
        <v>15</v>
      </c>
      <c r="P14" s="24">
        <f t="shared" si="4"/>
        <v>0.91407407407407426</v>
      </c>
      <c r="Q14" s="48">
        <v>55019</v>
      </c>
      <c r="R14" s="19">
        <f t="shared" si="5"/>
        <v>40013.800000000003</v>
      </c>
      <c r="S14" s="19">
        <f t="shared" si="6"/>
        <v>36575.599999999999</v>
      </c>
      <c r="T14" s="19">
        <f t="shared" si="7"/>
        <v>-3438.2000000000044</v>
      </c>
      <c r="U14" s="19">
        <v>224.4</v>
      </c>
      <c r="V14" s="19">
        <f t="shared" si="8"/>
        <v>36351.199999999997</v>
      </c>
      <c r="W14" s="19"/>
      <c r="X14" s="19">
        <v>5001.7</v>
      </c>
      <c r="Y14" s="19"/>
      <c r="Z14" s="19">
        <v>5001.8</v>
      </c>
      <c r="AA14" s="19">
        <v>5001.7</v>
      </c>
      <c r="AB14" s="19">
        <v>4342.5</v>
      </c>
      <c r="AC14" s="19">
        <v>3843</v>
      </c>
      <c r="AD14" s="19">
        <v>4593.3</v>
      </c>
      <c r="AE14" s="19">
        <v>4527.2</v>
      </c>
      <c r="AF14" s="19">
        <f t="shared" si="9"/>
        <v>4040</v>
      </c>
      <c r="AG14" s="41"/>
      <c r="AH14" s="41"/>
      <c r="AI14" s="42"/>
      <c r="AJ14" s="19">
        <f t="shared" si="10"/>
        <v>4040</v>
      </c>
      <c r="AK14" s="1"/>
      <c r="AL14" s="1"/>
      <c r="AM14" s="1"/>
      <c r="AN14" s="36"/>
      <c r="AO14" s="36"/>
      <c r="AP14" s="36"/>
    </row>
    <row r="15" spans="1:43" s="2" customFormat="1" ht="16.5" customHeight="1">
      <c r="A15" s="5" t="s">
        <v>11</v>
      </c>
      <c r="B15" s="4">
        <v>1</v>
      </c>
      <c r="C15" s="4">
        <v>10</v>
      </c>
      <c r="D15" s="4" t="s">
        <v>71</v>
      </c>
      <c r="E15" s="4" t="s">
        <v>71</v>
      </c>
      <c r="F15" s="4" t="s">
        <v>71</v>
      </c>
      <c r="G15" s="4">
        <v>15</v>
      </c>
      <c r="H15" s="4">
        <v>200</v>
      </c>
      <c r="I15" s="41">
        <v>187</v>
      </c>
      <c r="J15" s="60">
        <f t="shared" si="2"/>
        <v>0.93500000000000005</v>
      </c>
      <c r="K15" s="4">
        <v>20</v>
      </c>
      <c r="L15" s="4">
        <v>6192</v>
      </c>
      <c r="M15" s="4">
        <v>9060</v>
      </c>
      <c r="N15" s="60">
        <f t="shared" si="3"/>
        <v>1.2263178294573642</v>
      </c>
      <c r="O15" s="4">
        <v>15</v>
      </c>
      <c r="P15" s="24">
        <f t="shared" si="4"/>
        <v>1.0465503875968993</v>
      </c>
      <c r="Q15" s="48">
        <v>87163</v>
      </c>
      <c r="R15" s="19">
        <f t="shared" si="5"/>
        <v>63391.3</v>
      </c>
      <c r="S15" s="19">
        <f t="shared" si="6"/>
        <v>66342.2</v>
      </c>
      <c r="T15" s="19">
        <f t="shared" si="7"/>
        <v>2950.8999999999942</v>
      </c>
      <c r="U15" s="19"/>
      <c r="V15" s="19">
        <f t="shared" si="8"/>
        <v>66342.2</v>
      </c>
      <c r="W15" s="19"/>
      <c r="X15" s="19">
        <v>7923.9</v>
      </c>
      <c r="Y15" s="19"/>
      <c r="Z15" s="19">
        <v>7923.9</v>
      </c>
      <c r="AA15" s="19">
        <v>7923.9</v>
      </c>
      <c r="AB15" s="19">
        <v>6237.8</v>
      </c>
      <c r="AC15" s="19">
        <v>11800.4</v>
      </c>
      <c r="AD15" s="19">
        <v>8362</v>
      </c>
      <c r="AE15" s="19">
        <v>7512.8</v>
      </c>
      <c r="AF15" s="19">
        <f t="shared" si="9"/>
        <v>8657.5</v>
      </c>
      <c r="AG15" s="41"/>
      <c r="AH15" s="41"/>
      <c r="AI15" s="42"/>
      <c r="AJ15" s="19">
        <f t="shared" si="10"/>
        <v>8657.5</v>
      </c>
      <c r="AK15" s="1"/>
      <c r="AL15" s="1"/>
      <c r="AM15" s="1"/>
      <c r="AN15" s="36"/>
      <c r="AO15" s="36"/>
      <c r="AP15" s="36"/>
    </row>
    <row r="16" spans="1:43" s="2" customFormat="1" ht="17.100000000000001" customHeight="1">
      <c r="A16" s="34" t="s">
        <v>12</v>
      </c>
      <c r="B16" s="4">
        <v>1</v>
      </c>
      <c r="C16" s="4">
        <v>10</v>
      </c>
      <c r="D16" s="4" t="s">
        <v>71</v>
      </c>
      <c r="E16" s="4" t="s">
        <v>71</v>
      </c>
      <c r="F16" s="4" t="s">
        <v>71</v>
      </c>
      <c r="G16" s="4">
        <v>15</v>
      </c>
      <c r="H16" s="4">
        <v>200</v>
      </c>
      <c r="I16" s="41">
        <v>200</v>
      </c>
      <c r="J16" s="60">
        <f t="shared" si="2"/>
        <v>1</v>
      </c>
      <c r="K16" s="4">
        <v>20</v>
      </c>
      <c r="L16" s="4">
        <v>3066</v>
      </c>
      <c r="M16" s="4">
        <v>3634</v>
      </c>
      <c r="N16" s="60">
        <f t="shared" si="3"/>
        <v>1.1852576647097195</v>
      </c>
      <c r="O16" s="4">
        <v>15</v>
      </c>
      <c r="P16" s="24">
        <f t="shared" si="4"/>
        <v>1.0617525549032398</v>
      </c>
      <c r="Q16" s="48">
        <v>78806</v>
      </c>
      <c r="R16" s="19">
        <f t="shared" si="5"/>
        <v>57313.5</v>
      </c>
      <c r="S16" s="19">
        <f t="shared" si="6"/>
        <v>60852.800000000003</v>
      </c>
      <c r="T16" s="19">
        <f t="shared" si="7"/>
        <v>3539.3000000000029</v>
      </c>
      <c r="U16" s="19">
        <v>4275</v>
      </c>
      <c r="V16" s="19">
        <f t="shared" si="8"/>
        <v>56577.8</v>
      </c>
      <c r="W16" s="19"/>
      <c r="X16" s="19">
        <v>7164.2</v>
      </c>
      <c r="Y16" s="19"/>
      <c r="Z16" s="19">
        <v>7164.2</v>
      </c>
      <c r="AA16" s="19">
        <v>7164.1</v>
      </c>
      <c r="AB16" s="19">
        <v>7047.6</v>
      </c>
      <c r="AC16" s="19">
        <v>8586.6</v>
      </c>
      <c r="AD16" s="19">
        <v>6570.4</v>
      </c>
      <c r="AE16" s="19">
        <v>6206.7</v>
      </c>
      <c r="AF16" s="19">
        <f t="shared" si="9"/>
        <v>6674</v>
      </c>
      <c r="AG16" s="41"/>
      <c r="AH16" s="41"/>
      <c r="AI16" s="42"/>
      <c r="AJ16" s="19">
        <f t="shared" si="10"/>
        <v>6674</v>
      </c>
      <c r="AK16" s="1"/>
      <c r="AL16" s="1"/>
      <c r="AM16" s="1"/>
      <c r="AN16" s="36"/>
      <c r="AO16" s="36"/>
      <c r="AP16" s="36"/>
    </row>
    <row r="17" spans="1:43" s="2" customFormat="1" ht="17.100000000000001" customHeight="1">
      <c r="A17" s="5" t="s">
        <v>13</v>
      </c>
      <c r="B17" s="4">
        <v>1</v>
      </c>
      <c r="C17" s="4">
        <v>10</v>
      </c>
      <c r="D17" s="4" t="s">
        <v>71</v>
      </c>
      <c r="E17" s="4" t="s">
        <v>71</v>
      </c>
      <c r="F17" s="4" t="s">
        <v>71</v>
      </c>
      <c r="G17" s="4">
        <v>15</v>
      </c>
      <c r="H17" s="4">
        <v>200</v>
      </c>
      <c r="I17" s="41">
        <v>196</v>
      </c>
      <c r="J17" s="60">
        <f t="shared" si="2"/>
        <v>0.98</v>
      </c>
      <c r="K17" s="4">
        <v>20</v>
      </c>
      <c r="L17" s="4">
        <v>24862</v>
      </c>
      <c r="M17" s="4">
        <v>39166</v>
      </c>
      <c r="N17" s="60">
        <f t="shared" si="3"/>
        <v>1.2375335853913603</v>
      </c>
      <c r="O17" s="4">
        <v>15</v>
      </c>
      <c r="P17" s="24">
        <f t="shared" si="4"/>
        <v>1.0702889729082312</v>
      </c>
      <c r="Q17" s="48">
        <v>88861</v>
      </c>
      <c r="R17" s="19">
        <f t="shared" si="5"/>
        <v>64626.2</v>
      </c>
      <c r="S17" s="19">
        <f t="shared" si="6"/>
        <v>69168.7</v>
      </c>
      <c r="T17" s="19">
        <f t="shared" si="7"/>
        <v>4542.5</v>
      </c>
      <c r="U17" s="19">
        <v>1612.9</v>
      </c>
      <c r="V17" s="19">
        <f t="shared" si="8"/>
        <v>67555.8</v>
      </c>
      <c r="W17" s="19"/>
      <c r="X17" s="19">
        <v>8078.3</v>
      </c>
      <c r="Y17" s="19"/>
      <c r="Z17" s="19">
        <v>8078.2</v>
      </c>
      <c r="AA17" s="19">
        <v>8078.3</v>
      </c>
      <c r="AB17" s="19">
        <v>8319.7999999999993</v>
      </c>
      <c r="AC17" s="19">
        <v>10995</v>
      </c>
      <c r="AD17" s="19">
        <v>8387.2999999999993</v>
      </c>
      <c r="AE17" s="19">
        <v>8160.4</v>
      </c>
      <c r="AF17" s="19">
        <f t="shared" si="9"/>
        <v>7458.5</v>
      </c>
      <c r="AG17" s="41"/>
      <c r="AH17" s="41"/>
      <c r="AI17" s="42"/>
      <c r="AJ17" s="19">
        <f t="shared" si="10"/>
        <v>7458.5</v>
      </c>
      <c r="AK17" s="1"/>
      <c r="AL17" s="1"/>
      <c r="AM17" s="1"/>
      <c r="AN17" s="36"/>
      <c r="AO17" s="36"/>
      <c r="AP17" s="36"/>
    </row>
    <row r="18" spans="1:43" s="2" customFormat="1" ht="17.100000000000001" customHeight="1">
      <c r="A18" s="5" t="s">
        <v>14</v>
      </c>
      <c r="B18" s="4">
        <v>1</v>
      </c>
      <c r="C18" s="4">
        <v>10</v>
      </c>
      <c r="D18" s="4" t="s">
        <v>71</v>
      </c>
      <c r="E18" s="4" t="s">
        <v>71</v>
      </c>
      <c r="F18" s="4" t="s">
        <v>71</v>
      </c>
      <c r="G18" s="4">
        <v>15</v>
      </c>
      <c r="H18" s="4">
        <v>200</v>
      </c>
      <c r="I18" s="41">
        <v>195.7</v>
      </c>
      <c r="J18" s="60">
        <f>IF(K18=0,0,IF(H18=0,1,IF(I18&lt;0,0,IF(I18/H18&gt;1.2,IF((I18/H18-1.2)*0.1+1.2&gt;1.3,1.3,(I18/H18-1.2)*0.1+1.2),I18/H18))))</f>
        <v>0.97849999999999993</v>
      </c>
      <c r="K18" s="4">
        <v>20</v>
      </c>
      <c r="L18" s="4">
        <v>4210</v>
      </c>
      <c r="M18" s="4">
        <v>3066</v>
      </c>
      <c r="N18" s="60">
        <f t="shared" si="3"/>
        <v>0.72826603325415673</v>
      </c>
      <c r="O18" s="4">
        <v>15</v>
      </c>
      <c r="P18" s="24">
        <f t="shared" si="4"/>
        <v>0.89986645552916333</v>
      </c>
      <c r="Q18" s="48">
        <v>58156</v>
      </c>
      <c r="R18" s="19">
        <f t="shared" si="5"/>
        <v>42295.3</v>
      </c>
      <c r="S18" s="19">
        <f t="shared" si="6"/>
        <v>38060.1</v>
      </c>
      <c r="T18" s="19">
        <f t="shared" si="7"/>
        <v>-4235.2000000000044</v>
      </c>
      <c r="U18" s="19">
        <v>3149</v>
      </c>
      <c r="V18" s="19">
        <f t="shared" si="8"/>
        <v>34911.1</v>
      </c>
      <c r="W18" s="19"/>
      <c r="X18" s="19">
        <v>5286.9</v>
      </c>
      <c r="Y18" s="19"/>
      <c r="Z18" s="19">
        <v>5286.9</v>
      </c>
      <c r="AA18" s="19">
        <v>5286.9</v>
      </c>
      <c r="AB18" s="19">
        <v>5437.5</v>
      </c>
      <c r="AC18" s="19">
        <v>945.8</v>
      </c>
      <c r="AD18" s="19">
        <v>3819.1</v>
      </c>
      <c r="AE18" s="19">
        <v>5407.2</v>
      </c>
      <c r="AF18" s="19">
        <f t="shared" si="9"/>
        <v>3440.8</v>
      </c>
      <c r="AG18" s="41"/>
      <c r="AH18" s="41"/>
      <c r="AI18" s="42"/>
      <c r="AJ18" s="19">
        <f t="shared" si="10"/>
        <v>3440.8</v>
      </c>
      <c r="AK18" s="1"/>
      <c r="AL18" s="1"/>
      <c r="AM18" s="1"/>
      <c r="AN18" s="36"/>
      <c r="AO18" s="36"/>
      <c r="AP18" s="36"/>
    </row>
    <row r="19" spans="1:43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62"/>
      <c r="J19" s="9"/>
      <c r="K19" s="9"/>
      <c r="L19" s="61">
        <f>SUM(L20:L46)</f>
        <v>340338</v>
      </c>
      <c r="M19" s="61">
        <f>SUM(M20:M46)</f>
        <v>503682</v>
      </c>
      <c r="N19" s="52">
        <f>IF(M19/L19&gt;1.2,IF((M19/L19-1.2)*0.1+1.2&gt;1.3,1.3,(M19/L19-1.2)*0.1+1.2),M19/L19)</f>
        <v>1.2279946406219699</v>
      </c>
      <c r="O19" s="9"/>
      <c r="P19" s="10"/>
      <c r="Q19" s="45">
        <f t="shared" ref="Q19:AF19" si="11">SUM(Q20:Q46)</f>
        <v>1420708</v>
      </c>
      <c r="R19" s="18">
        <f t="shared" si="11"/>
        <v>1033242.1999999998</v>
      </c>
      <c r="S19" s="18">
        <f t="shared" si="11"/>
        <v>1030730.3999999999</v>
      </c>
      <c r="T19" s="18">
        <f t="shared" si="11"/>
        <v>-2511.7999999999847</v>
      </c>
      <c r="U19" s="18">
        <f t="shared" ref="U19:V19" si="12">SUM(U20:U46)</f>
        <v>22226.2</v>
      </c>
      <c r="V19" s="18">
        <f t="shared" si="12"/>
        <v>1008504.2000000001</v>
      </c>
      <c r="W19" s="18">
        <f t="shared" si="11"/>
        <v>7282.6</v>
      </c>
      <c r="X19" s="18">
        <f t="shared" si="11"/>
        <v>125631.70000000003</v>
      </c>
      <c r="Y19" s="18">
        <f t="shared" si="11"/>
        <v>12100</v>
      </c>
      <c r="Z19" s="18">
        <f t="shared" si="11"/>
        <v>119978.09999999999</v>
      </c>
      <c r="AA19" s="18">
        <f t="shared" si="11"/>
        <v>123267.1</v>
      </c>
      <c r="AB19" s="18">
        <f t="shared" si="11"/>
        <v>120718.5</v>
      </c>
      <c r="AC19" s="18">
        <f t="shared" si="11"/>
        <v>130276.2</v>
      </c>
      <c r="AD19" s="18">
        <f t="shared" si="11"/>
        <v>123404.90000000001</v>
      </c>
      <c r="AE19" s="18">
        <f t="shared" si="11"/>
        <v>124325.39999999998</v>
      </c>
      <c r="AF19" s="18">
        <f t="shared" si="11"/>
        <v>121519.70000000001</v>
      </c>
      <c r="AG19" s="18"/>
      <c r="AH19" s="18"/>
      <c r="AI19" s="18"/>
      <c r="AJ19" s="18">
        <f>SUM(AJ20:AJ46)</f>
        <v>121519.70000000001</v>
      </c>
      <c r="AK19" s="1"/>
      <c r="AL19" s="1"/>
      <c r="AM19" s="1"/>
      <c r="AN19" s="36"/>
      <c r="AO19" s="36"/>
      <c r="AP19" s="36"/>
      <c r="AQ19" s="1"/>
    </row>
    <row r="20" spans="1:43" s="2" customFormat="1" ht="17.100000000000001" customHeight="1">
      <c r="A20" s="6" t="s">
        <v>0</v>
      </c>
      <c r="B20" s="4">
        <v>1</v>
      </c>
      <c r="C20" s="4">
        <v>10</v>
      </c>
      <c r="D20" s="4" t="s">
        <v>71</v>
      </c>
      <c r="E20" s="4" t="s">
        <v>71</v>
      </c>
      <c r="F20" s="4" t="s">
        <v>71</v>
      </c>
      <c r="G20" s="4">
        <v>10</v>
      </c>
      <c r="H20" s="4">
        <v>200</v>
      </c>
      <c r="I20" s="41">
        <v>200</v>
      </c>
      <c r="J20" s="60">
        <f>IF(K20=0,0,IF(H20=0,1,IF(I20&lt;0,0,IF(I20/H20&gt;1.2,IF((I20/H20-1.2)*0.1+1.2&gt;1.3,1.3,(I20/H20-1.2)*0.1+1.2),I20/H20))))</f>
        <v>1</v>
      </c>
      <c r="K20" s="4">
        <v>15</v>
      </c>
      <c r="L20" s="4">
        <v>1376</v>
      </c>
      <c r="M20" s="4">
        <v>808</v>
      </c>
      <c r="N20" s="60">
        <f t="shared" si="3"/>
        <v>0.58720930232558144</v>
      </c>
      <c r="O20" s="4">
        <v>5</v>
      </c>
      <c r="P20" s="24">
        <f>(B20*C20+J20*K20+N20*O20)/(C20+K20+O20)</f>
        <v>0.93120155038759689</v>
      </c>
      <c r="Q20" s="48">
        <v>33106</v>
      </c>
      <c r="R20" s="19">
        <f t="shared" si="5"/>
        <v>24077.1</v>
      </c>
      <c r="S20" s="19">
        <f>ROUND(P20*R20,1)</f>
        <v>22420.6</v>
      </c>
      <c r="T20" s="19">
        <f>S20-R20</f>
        <v>-1656.5</v>
      </c>
      <c r="U20" s="19">
        <v>1153.5999999999999</v>
      </c>
      <c r="V20" s="19">
        <f>S20-U20</f>
        <v>21267</v>
      </c>
      <c r="W20" s="19"/>
      <c r="X20" s="19">
        <v>3009.6</v>
      </c>
      <c r="Y20" s="19"/>
      <c r="Z20" s="19">
        <v>3009.7</v>
      </c>
      <c r="AA20" s="19">
        <v>3009.6</v>
      </c>
      <c r="AB20" s="19">
        <v>2484.4</v>
      </c>
      <c r="AC20" s="19">
        <v>2170.8000000000002</v>
      </c>
      <c r="AD20" s="19">
        <v>2506</v>
      </c>
      <c r="AE20" s="19">
        <v>1796.8</v>
      </c>
      <c r="AF20" s="19">
        <f t="shared" si="9"/>
        <v>3280.1</v>
      </c>
      <c r="AG20" s="42"/>
      <c r="AH20" s="41"/>
      <c r="AI20" s="42"/>
      <c r="AJ20" s="19">
        <f t="shared" si="10"/>
        <v>3280.1</v>
      </c>
      <c r="AK20" s="1"/>
      <c r="AL20" s="1"/>
      <c r="AM20" s="1"/>
      <c r="AN20" s="36"/>
      <c r="AO20" s="36"/>
      <c r="AP20" s="36"/>
      <c r="AQ20" s="1"/>
    </row>
    <row r="21" spans="1:43" s="2" customFormat="1" ht="17.100000000000001" customHeight="1">
      <c r="A21" s="6" t="s">
        <v>18</v>
      </c>
      <c r="B21" s="4">
        <v>1</v>
      </c>
      <c r="C21" s="4">
        <v>10</v>
      </c>
      <c r="D21" s="4" t="s">
        <v>71</v>
      </c>
      <c r="E21" s="4" t="s">
        <v>71</v>
      </c>
      <c r="F21" s="4" t="s">
        <v>71</v>
      </c>
      <c r="G21" s="4">
        <v>10</v>
      </c>
      <c r="H21" s="4">
        <v>200</v>
      </c>
      <c r="I21" s="41">
        <v>199</v>
      </c>
      <c r="J21" s="60">
        <f t="shared" ref="J21:J46" si="13">IF(K21=0,0,IF(H21=0,1,IF(I21&lt;0,0,IF(I21/H21&gt;1.2,IF((I21/H21-1.2)*0.1+1.2&gt;1.3,1.3,(I21/H21-1.2)*0.1+1.2),I21/H21))))</f>
        <v>0.995</v>
      </c>
      <c r="K21" s="4">
        <v>15</v>
      </c>
      <c r="L21" s="4">
        <v>7756</v>
      </c>
      <c r="M21" s="4">
        <v>10800</v>
      </c>
      <c r="N21" s="60">
        <f t="shared" si="3"/>
        <v>1.2192470345538937</v>
      </c>
      <c r="O21" s="4">
        <v>5</v>
      </c>
      <c r="P21" s="24">
        <f t="shared" ref="P21:P45" si="14">(B21*C21+J21*K21+N21*O21)/(C21+K21+O21)</f>
        <v>1.0340411724256489</v>
      </c>
      <c r="Q21" s="48">
        <v>61751</v>
      </c>
      <c r="R21" s="19">
        <f t="shared" si="5"/>
        <v>44909.8</v>
      </c>
      <c r="S21" s="19">
        <f t="shared" ref="S21:S46" si="15">ROUND(P21*R21,1)</f>
        <v>46438.6</v>
      </c>
      <c r="T21" s="19">
        <f t="shared" ref="T21:T46" si="16">S21-R21</f>
        <v>1528.7999999999956</v>
      </c>
      <c r="U21" s="19">
        <v>1311.6</v>
      </c>
      <c r="V21" s="19">
        <f t="shared" ref="V21:V46" si="17">S21-U21</f>
        <v>45127</v>
      </c>
      <c r="W21" s="19"/>
      <c r="X21" s="19">
        <v>5613.7</v>
      </c>
      <c r="Y21" s="19"/>
      <c r="Z21" s="19">
        <v>5613.8</v>
      </c>
      <c r="AA21" s="19">
        <v>5613.7</v>
      </c>
      <c r="AB21" s="19">
        <v>5707.7</v>
      </c>
      <c r="AC21" s="19">
        <v>4635.8999999999996</v>
      </c>
      <c r="AD21" s="19">
        <v>5174.7</v>
      </c>
      <c r="AE21" s="19">
        <v>7525.9</v>
      </c>
      <c r="AF21" s="19">
        <f t="shared" si="9"/>
        <v>5241.6000000000004</v>
      </c>
      <c r="AG21" s="41"/>
      <c r="AH21" s="41"/>
      <c r="AI21" s="42"/>
      <c r="AJ21" s="19">
        <f t="shared" si="10"/>
        <v>5241.6000000000004</v>
      </c>
      <c r="AK21" s="1"/>
      <c r="AL21" s="1"/>
      <c r="AM21" s="1"/>
      <c r="AN21" s="36"/>
      <c r="AO21" s="36"/>
      <c r="AP21" s="36"/>
      <c r="AQ21" s="1"/>
    </row>
    <row r="22" spans="1:43" s="2" customFormat="1" ht="17.100000000000001" customHeight="1">
      <c r="A22" s="6" t="s">
        <v>19</v>
      </c>
      <c r="B22" s="4">
        <v>1</v>
      </c>
      <c r="C22" s="4">
        <v>10</v>
      </c>
      <c r="D22" s="4" t="s">
        <v>71</v>
      </c>
      <c r="E22" s="4" t="s">
        <v>71</v>
      </c>
      <c r="F22" s="4" t="s">
        <v>71</v>
      </c>
      <c r="G22" s="4">
        <v>10</v>
      </c>
      <c r="H22" s="4">
        <v>200</v>
      </c>
      <c r="I22" s="41">
        <v>192</v>
      </c>
      <c r="J22" s="60">
        <f t="shared" si="13"/>
        <v>0.96</v>
      </c>
      <c r="K22" s="4">
        <v>15</v>
      </c>
      <c r="L22" s="4">
        <v>3594</v>
      </c>
      <c r="M22" s="4">
        <v>2282</v>
      </c>
      <c r="N22" s="60">
        <f t="shared" si="3"/>
        <v>0.63494713411240955</v>
      </c>
      <c r="O22" s="4">
        <v>5</v>
      </c>
      <c r="P22" s="24">
        <f t="shared" si="14"/>
        <v>0.91915785568540154</v>
      </c>
      <c r="Q22" s="48">
        <v>40986</v>
      </c>
      <c r="R22" s="19">
        <f t="shared" si="5"/>
        <v>29808</v>
      </c>
      <c r="S22" s="19">
        <f t="shared" si="15"/>
        <v>27398.3</v>
      </c>
      <c r="T22" s="19">
        <f t="shared" si="16"/>
        <v>-2409.7000000000007</v>
      </c>
      <c r="U22" s="19">
        <v>394.2</v>
      </c>
      <c r="V22" s="19">
        <f t="shared" si="17"/>
        <v>27004.1</v>
      </c>
      <c r="W22" s="19"/>
      <c r="X22" s="19">
        <v>3726</v>
      </c>
      <c r="Y22" s="19"/>
      <c r="Z22" s="19">
        <v>3726</v>
      </c>
      <c r="AA22" s="19">
        <v>3726</v>
      </c>
      <c r="AB22" s="19">
        <v>3658.7</v>
      </c>
      <c r="AC22" s="19">
        <v>3723.1</v>
      </c>
      <c r="AD22" s="19">
        <v>3633.2</v>
      </c>
      <c r="AE22" s="19">
        <v>1908.3</v>
      </c>
      <c r="AF22" s="19">
        <f t="shared" si="9"/>
        <v>2902.8</v>
      </c>
      <c r="AG22" s="41"/>
      <c r="AH22" s="41"/>
      <c r="AI22" s="42"/>
      <c r="AJ22" s="19">
        <f t="shared" si="10"/>
        <v>2902.8</v>
      </c>
      <c r="AK22" s="1"/>
      <c r="AL22" s="1"/>
      <c r="AM22" s="1"/>
      <c r="AN22" s="36"/>
      <c r="AO22" s="36"/>
      <c r="AP22" s="36"/>
      <c r="AQ22" s="1"/>
    </row>
    <row r="23" spans="1:43" s="2" customFormat="1" ht="17.100000000000001" customHeight="1">
      <c r="A23" s="6" t="s">
        <v>20</v>
      </c>
      <c r="B23" s="4">
        <v>1</v>
      </c>
      <c r="C23" s="4">
        <v>10</v>
      </c>
      <c r="D23" s="4" t="s">
        <v>71</v>
      </c>
      <c r="E23" s="4" t="s">
        <v>71</v>
      </c>
      <c r="F23" s="4" t="s">
        <v>71</v>
      </c>
      <c r="G23" s="4">
        <v>10</v>
      </c>
      <c r="H23" s="4">
        <v>200</v>
      </c>
      <c r="I23" s="41">
        <v>198.8</v>
      </c>
      <c r="J23" s="60">
        <f t="shared" si="13"/>
        <v>0.99400000000000011</v>
      </c>
      <c r="K23" s="4">
        <v>15</v>
      </c>
      <c r="L23" s="4">
        <v>2270</v>
      </c>
      <c r="M23" s="4">
        <v>5492</v>
      </c>
      <c r="N23" s="60">
        <f t="shared" si="3"/>
        <v>1.3</v>
      </c>
      <c r="O23" s="4">
        <v>5</v>
      </c>
      <c r="P23" s="24">
        <f t="shared" si="14"/>
        <v>1.0470000000000002</v>
      </c>
      <c r="Q23" s="48">
        <v>45530</v>
      </c>
      <c r="R23" s="19">
        <f t="shared" si="5"/>
        <v>33112.699999999997</v>
      </c>
      <c r="S23" s="19">
        <f t="shared" si="15"/>
        <v>34669</v>
      </c>
      <c r="T23" s="19">
        <f t="shared" si="16"/>
        <v>1556.3000000000029</v>
      </c>
      <c r="U23" s="19">
        <v>1404.2</v>
      </c>
      <c r="V23" s="19">
        <f t="shared" si="17"/>
        <v>33264.800000000003</v>
      </c>
      <c r="W23" s="19"/>
      <c r="X23" s="19">
        <v>4139.1000000000004</v>
      </c>
      <c r="Y23" s="19"/>
      <c r="Z23" s="19">
        <v>4139.1000000000004</v>
      </c>
      <c r="AA23" s="19">
        <v>4139.1000000000004</v>
      </c>
      <c r="AB23" s="19">
        <v>4206.8999999999996</v>
      </c>
      <c r="AC23" s="19">
        <v>4798.3</v>
      </c>
      <c r="AD23" s="19">
        <v>4003.5</v>
      </c>
      <c r="AE23" s="19">
        <v>4042</v>
      </c>
      <c r="AF23" s="19">
        <f t="shared" si="9"/>
        <v>3796.8</v>
      </c>
      <c r="AG23" s="41"/>
      <c r="AH23" s="41"/>
      <c r="AI23" s="42"/>
      <c r="AJ23" s="19">
        <f t="shared" si="10"/>
        <v>3796.8</v>
      </c>
      <c r="AK23" s="1"/>
      <c r="AL23" s="1"/>
      <c r="AM23" s="1"/>
      <c r="AN23" s="36"/>
      <c r="AO23" s="36"/>
      <c r="AP23" s="36"/>
      <c r="AQ23" s="1"/>
    </row>
    <row r="24" spans="1:43" s="2" customFormat="1" ht="17.100000000000001" customHeight="1">
      <c r="A24" s="6" t="s">
        <v>21</v>
      </c>
      <c r="B24" s="4">
        <v>1</v>
      </c>
      <c r="C24" s="4">
        <v>10</v>
      </c>
      <c r="D24" s="4" t="s">
        <v>71</v>
      </c>
      <c r="E24" s="4" t="s">
        <v>71</v>
      </c>
      <c r="F24" s="4" t="s">
        <v>71</v>
      </c>
      <c r="G24" s="4">
        <v>10</v>
      </c>
      <c r="H24" s="4">
        <v>200</v>
      </c>
      <c r="I24" s="41">
        <v>186</v>
      </c>
      <c r="J24" s="60">
        <f t="shared" si="13"/>
        <v>0.93</v>
      </c>
      <c r="K24" s="4">
        <v>15</v>
      </c>
      <c r="L24" s="4">
        <v>1654</v>
      </c>
      <c r="M24" s="4">
        <v>2340</v>
      </c>
      <c r="N24" s="60">
        <f t="shared" si="3"/>
        <v>1.2214752116082224</v>
      </c>
      <c r="O24" s="4">
        <v>5</v>
      </c>
      <c r="P24" s="24">
        <f t="shared" si="14"/>
        <v>1.0019125352680371</v>
      </c>
      <c r="Q24" s="48">
        <v>44779</v>
      </c>
      <c r="R24" s="19">
        <f t="shared" si="5"/>
        <v>32566.5</v>
      </c>
      <c r="S24" s="19">
        <f t="shared" si="15"/>
        <v>32628.799999999999</v>
      </c>
      <c r="T24" s="19">
        <f t="shared" si="16"/>
        <v>62.299999999999272</v>
      </c>
      <c r="U24" s="19"/>
      <c r="V24" s="19">
        <f t="shared" si="17"/>
        <v>32628.799999999999</v>
      </c>
      <c r="W24" s="19"/>
      <c r="X24" s="19">
        <v>4070.8</v>
      </c>
      <c r="Y24" s="19"/>
      <c r="Z24" s="19">
        <v>4070.8</v>
      </c>
      <c r="AA24" s="19">
        <v>4070.9</v>
      </c>
      <c r="AB24" s="19">
        <v>3045</v>
      </c>
      <c r="AC24" s="19">
        <v>3728.6</v>
      </c>
      <c r="AD24" s="19">
        <v>3797.2</v>
      </c>
      <c r="AE24" s="19">
        <v>5268.2</v>
      </c>
      <c r="AF24" s="19">
        <f t="shared" si="9"/>
        <v>4577.3</v>
      </c>
      <c r="AG24" s="41"/>
      <c r="AH24" s="41"/>
      <c r="AI24" s="42"/>
      <c r="AJ24" s="19">
        <f t="shared" si="10"/>
        <v>4577.3</v>
      </c>
      <c r="AK24" s="1"/>
      <c r="AL24" s="1"/>
      <c r="AM24" s="1"/>
      <c r="AN24" s="36"/>
      <c r="AO24" s="36"/>
      <c r="AP24" s="36"/>
      <c r="AQ24" s="1"/>
    </row>
    <row r="25" spans="1:43" s="2" customFormat="1" ht="17.100000000000001" customHeight="1">
      <c r="A25" s="6" t="s">
        <v>22</v>
      </c>
      <c r="B25" s="4">
        <v>1</v>
      </c>
      <c r="C25" s="4">
        <v>10</v>
      </c>
      <c r="D25" s="4" t="s">
        <v>71</v>
      </c>
      <c r="E25" s="4" t="s">
        <v>71</v>
      </c>
      <c r="F25" s="4" t="s">
        <v>71</v>
      </c>
      <c r="G25" s="4">
        <v>10</v>
      </c>
      <c r="H25" s="4">
        <v>200</v>
      </c>
      <c r="I25" s="41">
        <v>196</v>
      </c>
      <c r="J25" s="60">
        <f t="shared" si="13"/>
        <v>0.98</v>
      </c>
      <c r="K25" s="4">
        <v>15</v>
      </c>
      <c r="L25" s="4">
        <v>5388</v>
      </c>
      <c r="M25" s="4">
        <v>8005</v>
      </c>
      <c r="N25" s="60">
        <f t="shared" si="3"/>
        <v>1.2285708982925019</v>
      </c>
      <c r="O25" s="4">
        <v>5</v>
      </c>
      <c r="P25" s="24">
        <f t="shared" si="14"/>
        <v>1.0280951497154169</v>
      </c>
      <c r="Q25" s="48">
        <v>59546</v>
      </c>
      <c r="R25" s="19">
        <f t="shared" si="5"/>
        <v>43306.2</v>
      </c>
      <c r="S25" s="19">
        <f t="shared" si="15"/>
        <v>44522.9</v>
      </c>
      <c r="T25" s="19">
        <f t="shared" si="16"/>
        <v>1216.7000000000044</v>
      </c>
      <c r="U25" s="19"/>
      <c r="V25" s="19">
        <f t="shared" si="17"/>
        <v>44522.9</v>
      </c>
      <c r="W25" s="19"/>
      <c r="X25" s="19">
        <v>5413.3</v>
      </c>
      <c r="Y25" s="19"/>
      <c r="Z25" s="19">
        <v>5413.2</v>
      </c>
      <c r="AA25" s="19">
        <v>5413.3</v>
      </c>
      <c r="AB25" s="19">
        <v>5216.1000000000004</v>
      </c>
      <c r="AC25" s="19">
        <v>6417.8</v>
      </c>
      <c r="AD25" s="19">
        <v>5574.7</v>
      </c>
      <c r="AE25" s="19">
        <v>5600.4</v>
      </c>
      <c r="AF25" s="19">
        <f t="shared" si="9"/>
        <v>5474.1</v>
      </c>
      <c r="AG25" s="42"/>
      <c r="AH25" s="41"/>
      <c r="AI25" s="42"/>
      <c r="AJ25" s="19">
        <f t="shared" si="10"/>
        <v>5474.1</v>
      </c>
      <c r="AK25" s="1"/>
      <c r="AL25" s="1"/>
      <c r="AM25" s="1"/>
      <c r="AN25" s="36"/>
      <c r="AO25" s="36"/>
      <c r="AP25" s="36"/>
      <c r="AQ25" s="1"/>
    </row>
    <row r="26" spans="1:43" s="2" customFormat="1" ht="17.100000000000001" customHeight="1">
      <c r="A26" s="6" t="s">
        <v>23</v>
      </c>
      <c r="B26" s="4">
        <v>1</v>
      </c>
      <c r="C26" s="4">
        <v>10</v>
      </c>
      <c r="D26" s="4" t="s">
        <v>71</v>
      </c>
      <c r="E26" s="4" t="s">
        <v>71</v>
      </c>
      <c r="F26" s="4" t="s">
        <v>71</v>
      </c>
      <c r="G26" s="4">
        <v>10</v>
      </c>
      <c r="H26" s="4">
        <v>200</v>
      </c>
      <c r="I26" s="41">
        <v>185</v>
      </c>
      <c r="J26" s="60">
        <f t="shared" si="13"/>
        <v>0.92500000000000004</v>
      </c>
      <c r="K26" s="4">
        <v>15</v>
      </c>
      <c r="L26" s="4">
        <v>110268</v>
      </c>
      <c r="M26" s="4">
        <v>125602</v>
      </c>
      <c r="N26" s="60">
        <f t="shared" si="3"/>
        <v>1.1390611963579642</v>
      </c>
      <c r="O26" s="4">
        <v>5</v>
      </c>
      <c r="P26" s="24">
        <f t="shared" si="14"/>
        <v>0.98567686605966076</v>
      </c>
      <c r="Q26" s="48">
        <f>93484+2347</f>
        <v>95831</v>
      </c>
      <c r="R26" s="19">
        <f t="shared" si="5"/>
        <v>69695.3</v>
      </c>
      <c r="S26" s="19">
        <f t="shared" si="15"/>
        <v>68697</v>
      </c>
      <c r="T26" s="19">
        <f t="shared" si="16"/>
        <v>-998.30000000000291</v>
      </c>
      <c r="U26" s="19"/>
      <c r="V26" s="19">
        <f t="shared" si="17"/>
        <v>68697</v>
      </c>
      <c r="W26" s="19"/>
      <c r="X26" s="19">
        <v>8498.5</v>
      </c>
      <c r="Y26" s="19"/>
      <c r="Z26" s="19">
        <v>8498.6</v>
      </c>
      <c r="AA26" s="19">
        <v>9138.6</v>
      </c>
      <c r="AB26" s="19">
        <v>8573.7000000000007</v>
      </c>
      <c r="AC26" s="19">
        <v>10235.799999999999</v>
      </c>
      <c r="AD26" s="19">
        <v>8989.2000000000007</v>
      </c>
      <c r="AE26" s="19">
        <v>8260.7999999999993</v>
      </c>
      <c r="AF26" s="19">
        <f t="shared" si="9"/>
        <v>6501.8</v>
      </c>
      <c r="AG26" s="41"/>
      <c r="AH26" s="41"/>
      <c r="AI26" s="42"/>
      <c r="AJ26" s="19">
        <f t="shared" si="10"/>
        <v>6501.8</v>
      </c>
      <c r="AK26" s="1"/>
      <c r="AL26" s="1"/>
      <c r="AM26" s="1"/>
      <c r="AN26" s="36"/>
      <c r="AO26" s="36"/>
      <c r="AP26" s="36"/>
      <c r="AQ26" s="1"/>
    </row>
    <row r="27" spans="1:43" s="2" customFormat="1" ht="16.5" customHeight="1">
      <c r="A27" s="6" t="s">
        <v>24</v>
      </c>
      <c r="B27" s="4">
        <v>1</v>
      </c>
      <c r="C27" s="4">
        <v>10</v>
      </c>
      <c r="D27" s="4" t="s">
        <v>71</v>
      </c>
      <c r="E27" s="4" t="s">
        <v>71</v>
      </c>
      <c r="F27" s="4" t="s">
        <v>71</v>
      </c>
      <c r="G27" s="4">
        <v>10</v>
      </c>
      <c r="H27" s="4">
        <v>200</v>
      </c>
      <c r="I27" s="41">
        <v>196</v>
      </c>
      <c r="J27" s="60">
        <f t="shared" si="13"/>
        <v>0.98</v>
      </c>
      <c r="K27" s="4">
        <v>15</v>
      </c>
      <c r="L27" s="4">
        <v>1486</v>
      </c>
      <c r="M27" s="4">
        <v>1993</v>
      </c>
      <c r="N27" s="60">
        <f t="shared" si="3"/>
        <v>1.2141184387617765</v>
      </c>
      <c r="O27" s="4">
        <v>5</v>
      </c>
      <c r="P27" s="24">
        <f t="shared" si="14"/>
        <v>1.025686406460296</v>
      </c>
      <c r="Q27" s="48">
        <v>24800</v>
      </c>
      <c r="R27" s="19">
        <f t="shared" si="5"/>
        <v>18036.400000000001</v>
      </c>
      <c r="S27" s="19">
        <f t="shared" si="15"/>
        <v>18499.7</v>
      </c>
      <c r="T27" s="19">
        <f t="shared" si="16"/>
        <v>463.29999999999927</v>
      </c>
      <c r="U27" s="19"/>
      <c r="V27" s="19">
        <f t="shared" si="17"/>
        <v>18499.7</v>
      </c>
      <c r="W27" s="19"/>
      <c r="X27" s="19">
        <v>2254.5</v>
      </c>
      <c r="Y27" s="19"/>
      <c r="Z27" s="19">
        <v>2254.6</v>
      </c>
      <c r="AA27" s="19">
        <v>2254.5</v>
      </c>
      <c r="AB27" s="19">
        <v>2004</v>
      </c>
      <c r="AC27" s="19">
        <v>2740.5</v>
      </c>
      <c r="AD27" s="19">
        <v>2301.6999999999998</v>
      </c>
      <c r="AE27" s="19">
        <v>2169.6999999999998</v>
      </c>
      <c r="AF27" s="19">
        <f t="shared" si="9"/>
        <v>2520.1999999999998</v>
      </c>
      <c r="AG27" s="41"/>
      <c r="AH27" s="41"/>
      <c r="AI27" s="42"/>
      <c r="AJ27" s="19">
        <f t="shared" si="10"/>
        <v>2520.1999999999998</v>
      </c>
      <c r="AK27" s="1"/>
      <c r="AL27" s="1"/>
      <c r="AM27" s="1"/>
      <c r="AN27" s="36"/>
      <c r="AO27" s="36"/>
      <c r="AP27" s="36"/>
      <c r="AQ27" s="1"/>
    </row>
    <row r="28" spans="1:43" s="2" customFormat="1" ht="17.100000000000001" customHeight="1">
      <c r="A28" s="6" t="s">
        <v>25</v>
      </c>
      <c r="B28" s="4">
        <v>1</v>
      </c>
      <c r="C28" s="4">
        <v>10</v>
      </c>
      <c r="D28" s="4" t="s">
        <v>71</v>
      </c>
      <c r="E28" s="4" t="s">
        <v>71</v>
      </c>
      <c r="F28" s="4" t="s">
        <v>71</v>
      </c>
      <c r="G28" s="4">
        <v>10</v>
      </c>
      <c r="H28" s="4">
        <v>200</v>
      </c>
      <c r="I28" s="41">
        <v>200</v>
      </c>
      <c r="J28" s="60">
        <f t="shared" si="13"/>
        <v>1</v>
      </c>
      <c r="K28" s="4">
        <v>15</v>
      </c>
      <c r="L28" s="4">
        <v>2546</v>
      </c>
      <c r="M28" s="4">
        <v>2307</v>
      </c>
      <c r="N28" s="60">
        <f t="shared" si="3"/>
        <v>0.90612725844461905</v>
      </c>
      <c r="O28" s="4">
        <v>5</v>
      </c>
      <c r="P28" s="24">
        <f t="shared" si="14"/>
        <v>0.98435454307410308</v>
      </c>
      <c r="Q28" s="48">
        <v>46312</v>
      </c>
      <c r="R28" s="19">
        <f t="shared" si="5"/>
        <v>33681.5</v>
      </c>
      <c r="S28" s="19">
        <f t="shared" si="15"/>
        <v>33154.5</v>
      </c>
      <c r="T28" s="19">
        <f t="shared" si="16"/>
        <v>-527</v>
      </c>
      <c r="U28" s="19">
        <v>1718.6</v>
      </c>
      <c r="V28" s="19">
        <f t="shared" si="17"/>
        <v>31435.9</v>
      </c>
      <c r="W28" s="19"/>
      <c r="X28" s="19">
        <v>4210.2</v>
      </c>
      <c r="Y28" s="19"/>
      <c r="Z28" s="19">
        <v>4210.2</v>
      </c>
      <c r="AA28" s="19">
        <v>4210.1000000000004</v>
      </c>
      <c r="AB28" s="19">
        <v>4268.8</v>
      </c>
      <c r="AC28" s="19">
        <v>2837.6</v>
      </c>
      <c r="AD28" s="19">
        <v>3603.7</v>
      </c>
      <c r="AE28" s="19">
        <v>4466</v>
      </c>
      <c r="AF28" s="19">
        <f t="shared" si="9"/>
        <v>3629.3</v>
      </c>
      <c r="AG28" s="41"/>
      <c r="AH28" s="41"/>
      <c r="AI28" s="42"/>
      <c r="AJ28" s="19">
        <f t="shared" si="10"/>
        <v>3629.3</v>
      </c>
      <c r="AK28" s="1"/>
      <c r="AL28" s="1"/>
      <c r="AM28" s="1"/>
      <c r="AN28" s="36"/>
      <c r="AO28" s="36"/>
      <c r="AP28" s="36"/>
      <c r="AQ28" s="1"/>
    </row>
    <row r="29" spans="1:43" s="2" customFormat="1" ht="17.100000000000001" customHeight="1">
      <c r="A29" s="6" t="s">
        <v>26</v>
      </c>
      <c r="B29" s="4">
        <v>1</v>
      </c>
      <c r="C29" s="4">
        <v>10</v>
      </c>
      <c r="D29" s="4" t="s">
        <v>71</v>
      </c>
      <c r="E29" s="4" t="s">
        <v>71</v>
      </c>
      <c r="F29" s="4" t="s">
        <v>71</v>
      </c>
      <c r="G29" s="4">
        <v>10</v>
      </c>
      <c r="H29" s="4">
        <v>200</v>
      </c>
      <c r="I29" s="41">
        <v>183</v>
      </c>
      <c r="J29" s="60">
        <f t="shared" si="13"/>
        <v>0.91500000000000004</v>
      </c>
      <c r="K29" s="4">
        <v>15</v>
      </c>
      <c r="L29" s="4">
        <v>1540</v>
      </c>
      <c r="M29" s="4">
        <v>1173</v>
      </c>
      <c r="N29" s="60">
        <f t="shared" si="3"/>
        <v>0.76168831168831164</v>
      </c>
      <c r="O29" s="4">
        <v>5</v>
      </c>
      <c r="P29" s="24">
        <f t="shared" si="14"/>
        <v>0.91778138528138531</v>
      </c>
      <c r="Q29" s="48">
        <v>31914</v>
      </c>
      <c r="R29" s="19">
        <f t="shared" si="5"/>
        <v>23210.2</v>
      </c>
      <c r="S29" s="19">
        <f t="shared" si="15"/>
        <v>21301.9</v>
      </c>
      <c r="T29" s="19">
        <f t="shared" si="16"/>
        <v>-1908.2999999999993</v>
      </c>
      <c r="U29" s="19">
        <v>255.8</v>
      </c>
      <c r="V29" s="19">
        <f t="shared" si="17"/>
        <v>21046.100000000002</v>
      </c>
      <c r="W29" s="19"/>
      <c r="X29" s="19">
        <v>2901.3</v>
      </c>
      <c r="Y29" s="19"/>
      <c r="Z29" s="19">
        <v>2901.2</v>
      </c>
      <c r="AA29" s="19">
        <v>2901.3</v>
      </c>
      <c r="AB29" s="19">
        <v>3123.3</v>
      </c>
      <c r="AC29" s="19">
        <v>2316.1</v>
      </c>
      <c r="AD29" s="19">
        <v>2777.3</v>
      </c>
      <c r="AE29" s="19">
        <v>2713.8</v>
      </c>
      <c r="AF29" s="19">
        <f t="shared" si="9"/>
        <v>1411.8</v>
      </c>
      <c r="AG29" s="42"/>
      <c r="AH29" s="41"/>
      <c r="AI29" s="42"/>
      <c r="AJ29" s="19">
        <f t="shared" si="10"/>
        <v>1411.8</v>
      </c>
      <c r="AK29" s="1"/>
      <c r="AL29" s="1"/>
      <c r="AM29" s="1"/>
      <c r="AN29" s="36"/>
      <c r="AO29" s="36"/>
      <c r="AP29" s="36"/>
      <c r="AQ29" s="1"/>
    </row>
    <row r="30" spans="1:43" s="2" customFormat="1" ht="17.100000000000001" customHeight="1">
      <c r="A30" s="6" t="s">
        <v>27</v>
      </c>
      <c r="B30" s="4">
        <v>1</v>
      </c>
      <c r="C30" s="4">
        <v>10</v>
      </c>
      <c r="D30" s="4" t="s">
        <v>71</v>
      </c>
      <c r="E30" s="4" t="s">
        <v>71</v>
      </c>
      <c r="F30" s="4" t="s">
        <v>71</v>
      </c>
      <c r="G30" s="4">
        <v>10</v>
      </c>
      <c r="H30" s="4">
        <v>200</v>
      </c>
      <c r="I30" s="41">
        <v>200</v>
      </c>
      <c r="J30" s="60">
        <f t="shared" si="13"/>
        <v>1</v>
      </c>
      <c r="K30" s="4">
        <v>15</v>
      </c>
      <c r="L30" s="4">
        <v>14956</v>
      </c>
      <c r="M30" s="4">
        <v>22306</v>
      </c>
      <c r="N30" s="60">
        <f t="shared" si="3"/>
        <v>1.2291441561914951</v>
      </c>
      <c r="O30" s="4">
        <v>5</v>
      </c>
      <c r="P30" s="24">
        <f t="shared" si="14"/>
        <v>1.0381906926985824</v>
      </c>
      <c r="Q30" s="48">
        <v>35651</v>
      </c>
      <c r="R30" s="19">
        <f t="shared" si="5"/>
        <v>25928</v>
      </c>
      <c r="S30" s="19">
        <f t="shared" si="15"/>
        <v>26918.2</v>
      </c>
      <c r="T30" s="19">
        <f t="shared" si="16"/>
        <v>990.20000000000073</v>
      </c>
      <c r="U30" s="19">
        <v>133.4</v>
      </c>
      <c r="V30" s="19">
        <f t="shared" si="17"/>
        <v>26784.799999999999</v>
      </c>
      <c r="W30" s="19"/>
      <c r="X30" s="19">
        <v>3241</v>
      </c>
      <c r="Y30" s="19"/>
      <c r="Z30" s="19">
        <v>3241</v>
      </c>
      <c r="AA30" s="19">
        <v>3241</v>
      </c>
      <c r="AB30" s="19">
        <v>3241</v>
      </c>
      <c r="AC30" s="19">
        <v>3801.3</v>
      </c>
      <c r="AD30" s="19">
        <v>3326.3</v>
      </c>
      <c r="AE30" s="19">
        <v>3361.8</v>
      </c>
      <c r="AF30" s="19">
        <f t="shared" si="9"/>
        <v>3331.4</v>
      </c>
      <c r="AG30" s="41"/>
      <c r="AH30" s="41"/>
      <c r="AI30" s="42"/>
      <c r="AJ30" s="19">
        <f t="shared" si="10"/>
        <v>3331.4</v>
      </c>
      <c r="AK30" s="1"/>
      <c r="AL30" s="1"/>
      <c r="AM30" s="1"/>
      <c r="AN30" s="36"/>
      <c r="AO30" s="36"/>
      <c r="AP30" s="36"/>
      <c r="AQ30" s="1"/>
    </row>
    <row r="31" spans="1:43" s="2" customFormat="1" ht="16.5" customHeight="1">
      <c r="A31" s="6" t="s">
        <v>28</v>
      </c>
      <c r="B31" s="4">
        <v>1</v>
      </c>
      <c r="C31" s="4">
        <v>10</v>
      </c>
      <c r="D31" s="4" t="s">
        <v>71</v>
      </c>
      <c r="E31" s="4" t="s">
        <v>71</v>
      </c>
      <c r="F31" s="4" t="s">
        <v>71</v>
      </c>
      <c r="G31" s="4">
        <v>10</v>
      </c>
      <c r="H31" s="4">
        <v>200</v>
      </c>
      <c r="I31" s="41">
        <v>198</v>
      </c>
      <c r="J31" s="60">
        <f t="shared" si="13"/>
        <v>0.99</v>
      </c>
      <c r="K31" s="4">
        <v>15</v>
      </c>
      <c r="L31" s="4">
        <v>10968</v>
      </c>
      <c r="M31" s="4">
        <v>10553</v>
      </c>
      <c r="N31" s="60">
        <f t="shared" si="3"/>
        <v>0.96216265499635301</v>
      </c>
      <c r="O31" s="4">
        <v>5</v>
      </c>
      <c r="P31" s="24">
        <f t="shared" si="14"/>
        <v>0.98869377583272555</v>
      </c>
      <c r="Q31" s="48">
        <v>79940</v>
      </c>
      <c r="R31" s="19">
        <f t="shared" si="5"/>
        <v>58138.2</v>
      </c>
      <c r="S31" s="19">
        <f t="shared" si="15"/>
        <v>57480.9</v>
      </c>
      <c r="T31" s="19">
        <f t="shared" si="16"/>
        <v>-657.29999999999563</v>
      </c>
      <c r="U31" s="19"/>
      <c r="V31" s="19">
        <f t="shared" si="17"/>
        <v>57480.9</v>
      </c>
      <c r="W31" s="19"/>
      <c r="X31" s="19">
        <v>7267.3</v>
      </c>
      <c r="Y31" s="19"/>
      <c r="Z31" s="19">
        <v>7267.2</v>
      </c>
      <c r="AA31" s="19">
        <v>7267.3</v>
      </c>
      <c r="AB31" s="19">
        <v>7148.3</v>
      </c>
      <c r="AC31" s="19">
        <v>8122.6</v>
      </c>
      <c r="AD31" s="19">
        <v>7414.5</v>
      </c>
      <c r="AE31" s="19">
        <v>5889.4</v>
      </c>
      <c r="AF31" s="19">
        <f t="shared" si="9"/>
        <v>7104.3</v>
      </c>
      <c r="AG31" s="42"/>
      <c r="AH31" s="41"/>
      <c r="AI31" s="42"/>
      <c r="AJ31" s="19">
        <f t="shared" si="10"/>
        <v>7104.3</v>
      </c>
      <c r="AK31" s="1"/>
      <c r="AL31" s="1"/>
      <c r="AM31" s="1"/>
      <c r="AN31" s="36"/>
      <c r="AO31" s="36"/>
      <c r="AP31" s="36"/>
      <c r="AQ31" s="1"/>
    </row>
    <row r="32" spans="1:43" s="2" customFormat="1" ht="17.100000000000001" customHeight="1">
      <c r="A32" s="6" t="s">
        <v>29</v>
      </c>
      <c r="B32" s="4">
        <v>1</v>
      </c>
      <c r="C32" s="4">
        <v>10</v>
      </c>
      <c r="D32" s="4" t="s">
        <v>71</v>
      </c>
      <c r="E32" s="4" t="s">
        <v>71</v>
      </c>
      <c r="F32" s="4" t="s">
        <v>71</v>
      </c>
      <c r="G32" s="4">
        <v>10</v>
      </c>
      <c r="H32" s="4">
        <v>200</v>
      </c>
      <c r="I32" s="41">
        <v>198</v>
      </c>
      <c r="J32" s="60">
        <f t="shared" si="13"/>
        <v>0.99</v>
      </c>
      <c r="K32" s="4">
        <v>15</v>
      </c>
      <c r="L32" s="4">
        <v>2100</v>
      </c>
      <c r="M32" s="4">
        <v>1449</v>
      </c>
      <c r="N32" s="60">
        <f t="shared" si="3"/>
        <v>0.69</v>
      </c>
      <c r="O32" s="4">
        <v>5</v>
      </c>
      <c r="P32" s="24">
        <f t="shared" si="14"/>
        <v>0.94333333333333336</v>
      </c>
      <c r="Q32" s="48">
        <v>36413</v>
      </c>
      <c r="R32" s="19">
        <f t="shared" si="5"/>
        <v>26482.2</v>
      </c>
      <c r="S32" s="19">
        <f t="shared" si="15"/>
        <v>24981.5</v>
      </c>
      <c r="T32" s="19">
        <f t="shared" si="16"/>
        <v>-1500.7000000000007</v>
      </c>
      <c r="U32" s="19">
        <v>1496.2</v>
      </c>
      <c r="V32" s="19">
        <f t="shared" si="17"/>
        <v>23485.3</v>
      </c>
      <c r="W32" s="19">
        <v>7282.6</v>
      </c>
      <c r="X32" s="19">
        <v>0</v>
      </c>
      <c r="Y32" s="19"/>
      <c r="Z32" s="19">
        <v>0</v>
      </c>
      <c r="AA32" s="19">
        <v>2648.2</v>
      </c>
      <c r="AB32" s="19">
        <v>3383.6</v>
      </c>
      <c r="AC32" s="19">
        <v>1363.1</v>
      </c>
      <c r="AD32" s="19">
        <v>2636.1</v>
      </c>
      <c r="AE32" s="19">
        <v>3645.9</v>
      </c>
      <c r="AF32" s="19">
        <f t="shared" si="9"/>
        <v>2525.8000000000002</v>
      </c>
      <c r="AG32" s="42"/>
      <c r="AH32" s="41"/>
      <c r="AI32" s="42"/>
      <c r="AJ32" s="19">
        <f t="shared" si="10"/>
        <v>2525.8000000000002</v>
      </c>
      <c r="AK32" s="1"/>
      <c r="AL32" s="1"/>
      <c r="AM32" s="1"/>
      <c r="AN32" s="36"/>
      <c r="AO32" s="36"/>
      <c r="AP32" s="36"/>
    </row>
    <row r="33" spans="1:43" s="2" customFormat="1" ht="17.100000000000001" customHeight="1">
      <c r="A33" s="6" t="s">
        <v>30</v>
      </c>
      <c r="B33" s="4">
        <v>1</v>
      </c>
      <c r="C33" s="4">
        <v>10</v>
      </c>
      <c r="D33" s="4" t="s">
        <v>71</v>
      </c>
      <c r="E33" s="4" t="s">
        <v>71</v>
      </c>
      <c r="F33" s="4" t="s">
        <v>71</v>
      </c>
      <c r="G33" s="4">
        <v>10</v>
      </c>
      <c r="H33" s="4">
        <v>200</v>
      </c>
      <c r="I33" s="41">
        <v>193</v>
      </c>
      <c r="J33" s="60">
        <f t="shared" si="13"/>
        <v>0.96499999999999997</v>
      </c>
      <c r="K33" s="4">
        <v>15</v>
      </c>
      <c r="L33" s="4">
        <v>3160</v>
      </c>
      <c r="M33" s="4">
        <v>4024</v>
      </c>
      <c r="N33" s="60">
        <f t="shared" si="3"/>
        <v>1.2073417721518986</v>
      </c>
      <c r="O33" s="4">
        <v>5</v>
      </c>
      <c r="P33" s="24">
        <f t="shared" si="14"/>
        <v>1.0170569620253165</v>
      </c>
      <c r="Q33" s="48">
        <v>52869</v>
      </c>
      <c r="R33" s="19">
        <f t="shared" si="5"/>
        <v>38450.199999999997</v>
      </c>
      <c r="S33" s="19">
        <f t="shared" si="15"/>
        <v>39106</v>
      </c>
      <c r="T33" s="19">
        <f t="shared" si="16"/>
        <v>655.80000000000291</v>
      </c>
      <c r="U33" s="19">
        <v>138.4</v>
      </c>
      <c r="V33" s="19">
        <f t="shared" si="17"/>
        <v>38967.599999999999</v>
      </c>
      <c r="W33" s="19"/>
      <c r="X33" s="19">
        <v>4806.3</v>
      </c>
      <c r="Y33" s="19"/>
      <c r="Z33" s="19">
        <v>4806.2</v>
      </c>
      <c r="AA33" s="19">
        <v>4806.3</v>
      </c>
      <c r="AB33" s="19">
        <v>3699.5</v>
      </c>
      <c r="AC33" s="19">
        <v>5635.4</v>
      </c>
      <c r="AD33" s="19">
        <v>4723</v>
      </c>
      <c r="AE33" s="19">
        <v>4612</v>
      </c>
      <c r="AF33" s="19">
        <f t="shared" si="9"/>
        <v>5878.9</v>
      </c>
      <c r="AG33" s="41"/>
      <c r="AH33" s="41"/>
      <c r="AI33" s="42"/>
      <c r="AJ33" s="19">
        <f t="shared" si="10"/>
        <v>5878.9</v>
      </c>
      <c r="AK33" s="1"/>
      <c r="AL33" s="1"/>
      <c r="AM33" s="1"/>
      <c r="AN33" s="36"/>
      <c r="AO33" s="36"/>
      <c r="AP33" s="36"/>
      <c r="AQ33" s="1"/>
    </row>
    <row r="34" spans="1:43" s="2" customFormat="1" ht="17.100000000000001" customHeight="1">
      <c r="A34" s="6" t="s">
        <v>31</v>
      </c>
      <c r="B34" s="4">
        <v>1</v>
      </c>
      <c r="C34" s="4">
        <v>10</v>
      </c>
      <c r="D34" s="4" t="s">
        <v>71</v>
      </c>
      <c r="E34" s="4" t="s">
        <v>71</v>
      </c>
      <c r="F34" s="4" t="s">
        <v>71</v>
      </c>
      <c r="G34" s="4">
        <v>10</v>
      </c>
      <c r="H34" s="4">
        <v>200</v>
      </c>
      <c r="I34" s="41">
        <v>199</v>
      </c>
      <c r="J34" s="60">
        <f t="shared" si="13"/>
        <v>0.995</v>
      </c>
      <c r="K34" s="4">
        <v>15</v>
      </c>
      <c r="L34" s="4">
        <v>2574</v>
      </c>
      <c r="M34" s="4">
        <v>5334</v>
      </c>
      <c r="N34" s="60">
        <f t="shared" si="3"/>
        <v>1.2872261072261071</v>
      </c>
      <c r="O34" s="4">
        <v>5</v>
      </c>
      <c r="P34" s="24">
        <f t="shared" si="14"/>
        <v>1.045371017871018</v>
      </c>
      <c r="Q34" s="48">
        <v>48805</v>
      </c>
      <c r="R34" s="19">
        <f t="shared" si="5"/>
        <v>35494.5</v>
      </c>
      <c r="S34" s="19">
        <f t="shared" si="15"/>
        <v>37104.9</v>
      </c>
      <c r="T34" s="19">
        <f t="shared" si="16"/>
        <v>1610.4000000000015</v>
      </c>
      <c r="U34" s="19">
        <v>1161</v>
      </c>
      <c r="V34" s="19">
        <f t="shared" si="17"/>
        <v>35943.9</v>
      </c>
      <c r="W34" s="19"/>
      <c r="X34" s="19">
        <v>4436.8</v>
      </c>
      <c r="Y34" s="19"/>
      <c r="Z34" s="19">
        <v>4436.8</v>
      </c>
      <c r="AA34" s="19">
        <v>4436.8999999999996</v>
      </c>
      <c r="AB34" s="19">
        <v>4433.5</v>
      </c>
      <c r="AC34" s="19">
        <v>4983.8</v>
      </c>
      <c r="AD34" s="19">
        <v>4313.3</v>
      </c>
      <c r="AE34" s="19">
        <v>4627.8999999999996</v>
      </c>
      <c r="AF34" s="19">
        <f t="shared" si="9"/>
        <v>4274.8999999999996</v>
      </c>
      <c r="AG34" s="41"/>
      <c r="AH34" s="41"/>
      <c r="AI34" s="42"/>
      <c r="AJ34" s="19">
        <f t="shared" si="10"/>
        <v>4274.8999999999996</v>
      </c>
      <c r="AK34" s="1"/>
      <c r="AL34" s="1"/>
      <c r="AM34" s="1"/>
      <c r="AN34" s="36"/>
      <c r="AO34" s="36"/>
      <c r="AP34" s="36"/>
    </row>
    <row r="35" spans="1:43" s="2" customFormat="1" ht="17.100000000000001" customHeight="1">
      <c r="A35" s="6" t="s">
        <v>1</v>
      </c>
      <c r="B35" s="4">
        <v>1</v>
      </c>
      <c r="C35" s="4">
        <v>10</v>
      </c>
      <c r="D35" s="4" t="s">
        <v>71</v>
      </c>
      <c r="E35" s="4" t="s">
        <v>71</v>
      </c>
      <c r="F35" s="4" t="s">
        <v>71</v>
      </c>
      <c r="G35" s="4">
        <v>10</v>
      </c>
      <c r="H35" s="4">
        <v>200</v>
      </c>
      <c r="I35" s="41">
        <v>195</v>
      </c>
      <c r="J35" s="60">
        <f t="shared" si="13"/>
        <v>0.97499999999999998</v>
      </c>
      <c r="K35" s="4">
        <v>15</v>
      </c>
      <c r="L35" s="4">
        <v>49618</v>
      </c>
      <c r="M35" s="4">
        <v>98225</v>
      </c>
      <c r="N35" s="60">
        <f t="shared" si="3"/>
        <v>1.2779624329880286</v>
      </c>
      <c r="O35" s="4">
        <v>5</v>
      </c>
      <c r="P35" s="24">
        <f t="shared" si="14"/>
        <v>1.0338270721646714</v>
      </c>
      <c r="Q35" s="48">
        <v>65004</v>
      </c>
      <c r="R35" s="19">
        <f t="shared" si="5"/>
        <v>47275.6</v>
      </c>
      <c r="S35" s="19">
        <f t="shared" si="15"/>
        <v>48874.8</v>
      </c>
      <c r="T35" s="19">
        <f t="shared" si="16"/>
        <v>1599.2000000000044</v>
      </c>
      <c r="U35" s="19">
        <v>1339</v>
      </c>
      <c r="V35" s="19">
        <f t="shared" si="17"/>
        <v>47535.8</v>
      </c>
      <c r="W35" s="19"/>
      <c r="X35" s="19">
        <v>5909.5</v>
      </c>
      <c r="Y35" s="19"/>
      <c r="Z35" s="19">
        <v>5909.4</v>
      </c>
      <c r="AA35" s="19">
        <v>5909.5</v>
      </c>
      <c r="AB35" s="19">
        <v>5222.7</v>
      </c>
      <c r="AC35" s="19">
        <v>7023.4</v>
      </c>
      <c r="AD35" s="19">
        <v>5727.1</v>
      </c>
      <c r="AE35" s="19">
        <v>5575.2</v>
      </c>
      <c r="AF35" s="19">
        <f t="shared" si="9"/>
        <v>6259</v>
      </c>
      <c r="AG35" s="41"/>
      <c r="AH35" s="41"/>
      <c r="AI35" s="42"/>
      <c r="AJ35" s="19">
        <f t="shared" si="10"/>
        <v>6259</v>
      </c>
      <c r="AK35" s="1"/>
      <c r="AL35" s="1"/>
      <c r="AM35" s="1"/>
      <c r="AN35" s="36"/>
      <c r="AO35" s="36"/>
      <c r="AP35" s="36"/>
      <c r="AQ35" s="1"/>
    </row>
    <row r="36" spans="1:43" s="2" customFormat="1" ht="17.100000000000001" customHeight="1">
      <c r="A36" s="6" t="s">
        <v>32</v>
      </c>
      <c r="B36" s="4">
        <v>1</v>
      </c>
      <c r="C36" s="4">
        <v>10</v>
      </c>
      <c r="D36" s="4" t="s">
        <v>71</v>
      </c>
      <c r="E36" s="4" t="s">
        <v>71</v>
      </c>
      <c r="F36" s="4" t="s">
        <v>71</v>
      </c>
      <c r="G36" s="4">
        <v>10</v>
      </c>
      <c r="H36" s="4">
        <v>200</v>
      </c>
      <c r="I36" s="41">
        <v>200</v>
      </c>
      <c r="J36" s="60">
        <f t="shared" si="13"/>
        <v>1</v>
      </c>
      <c r="K36" s="4">
        <v>15</v>
      </c>
      <c r="L36" s="4">
        <v>4168</v>
      </c>
      <c r="M36" s="4">
        <v>4906</v>
      </c>
      <c r="N36" s="60">
        <f t="shared" si="3"/>
        <v>1.177063339731286</v>
      </c>
      <c r="O36" s="4">
        <v>5</v>
      </c>
      <c r="P36" s="24">
        <f t="shared" si="14"/>
        <v>1.029510556621881</v>
      </c>
      <c r="Q36" s="48">
        <v>56653</v>
      </c>
      <c r="R36" s="19">
        <f t="shared" si="5"/>
        <v>41202.199999999997</v>
      </c>
      <c r="S36" s="19">
        <f t="shared" si="15"/>
        <v>42418.1</v>
      </c>
      <c r="T36" s="19">
        <f t="shared" si="16"/>
        <v>1215.9000000000015</v>
      </c>
      <c r="U36" s="19"/>
      <c r="V36" s="19">
        <f t="shared" si="17"/>
        <v>42418.1</v>
      </c>
      <c r="W36" s="19"/>
      <c r="X36" s="19">
        <v>5150.3</v>
      </c>
      <c r="Y36" s="19"/>
      <c r="Z36" s="19">
        <v>5150.2</v>
      </c>
      <c r="AA36" s="19">
        <v>5150.3</v>
      </c>
      <c r="AB36" s="19">
        <v>4938.2</v>
      </c>
      <c r="AC36" s="19">
        <v>5907.6</v>
      </c>
      <c r="AD36" s="19">
        <v>5259.2</v>
      </c>
      <c r="AE36" s="19">
        <v>5250.7</v>
      </c>
      <c r="AF36" s="19">
        <f t="shared" si="9"/>
        <v>5611.6</v>
      </c>
      <c r="AG36" s="41"/>
      <c r="AH36" s="41"/>
      <c r="AI36" s="42"/>
      <c r="AJ36" s="19">
        <f t="shared" si="10"/>
        <v>5611.6</v>
      </c>
      <c r="AK36" s="1"/>
      <c r="AL36" s="1"/>
      <c r="AM36" s="1"/>
      <c r="AN36" s="36"/>
      <c r="AO36" s="36"/>
      <c r="AP36" s="36"/>
      <c r="AQ36" s="1"/>
    </row>
    <row r="37" spans="1:43" s="2" customFormat="1" ht="17.100000000000001" customHeight="1">
      <c r="A37" s="6" t="s">
        <v>33</v>
      </c>
      <c r="B37" s="4">
        <v>1</v>
      </c>
      <c r="C37" s="4">
        <v>10</v>
      </c>
      <c r="D37" s="4" t="s">
        <v>71</v>
      </c>
      <c r="E37" s="4" t="s">
        <v>71</v>
      </c>
      <c r="F37" s="4" t="s">
        <v>71</v>
      </c>
      <c r="G37" s="4">
        <v>10</v>
      </c>
      <c r="H37" s="4">
        <v>200</v>
      </c>
      <c r="I37" s="41">
        <v>190</v>
      </c>
      <c r="J37" s="60">
        <f t="shared" si="13"/>
        <v>0.95</v>
      </c>
      <c r="K37" s="4">
        <v>15</v>
      </c>
      <c r="L37" s="4">
        <v>1612</v>
      </c>
      <c r="M37" s="4">
        <v>2072</v>
      </c>
      <c r="N37" s="60">
        <f t="shared" si="3"/>
        <v>1.2085359801488833</v>
      </c>
      <c r="O37" s="4">
        <v>5</v>
      </c>
      <c r="P37" s="24">
        <f t="shared" si="14"/>
        <v>1.0097559966914806</v>
      </c>
      <c r="Q37" s="48">
        <v>31485</v>
      </c>
      <c r="R37" s="19">
        <f t="shared" si="5"/>
        <v>22898.2</v>
      </c>
      <c r="S37" s="19">
        <f t="shared" si="15"/>
        <v>23121.599999999999</v>
      </c>
      <c r="T37" s="19">
        <f t="shared" si="16"/>
        <v>223.39999999999782</v>
      </c>
      <c r="U37" s="19">
        <v>1127.5999999999999</v>
      </c>
      <c r="V37" s="19">
        <f t="shared" si="17"/>
        <v>21994</v>
      </c>
      <c r="W37" s="19"/>
      <c r="X37" s="19">
        <v>2862.3</v>
      </c>
      <c r="Y37" s="19"/>
      <c r="Z37" s="19">
        <v>2862.2</v>
      </c>
      <c r="AA37" s="19">
        <v>2862.3</v>
      </c>
      <c r="AB37" s="19">
        <v>774.7</v>
      </c>
      <c r="AC37" s="19">
        <v>3079.6</v>
      </c>
      <c r="AD37" s="19">
        <v>2262.6999999999998</v>
      </c>
      <c r="AE37" s="19">
        <v>2138.4</v>
      </c>
      <c r="AF37" s="19">
        <f t="shared" si="9"/>
        <v>5151.8</v>
      </c>
      <c r="AG37" s="41"/>
      <c r="AH37" s="41"/>
      <c r="AI37" s="42"/>
      <c r="AJ37" s="19">
        <f t="shared" si="10"/>
        <v>5151.8</v>
      </c>
      <c r="AK37" s="1"/>
      <c r="AL37" s="1"/>
      <c r="AM37" s="1"/>
      <c r="AN37" s="36"/>
      <c r="AO37" s="36"/>
      <c r="AP37" s="36"/>
      <c r="AQ37" s="1"/>
    </row>
    <row r="38" spans="1:43" s="2" customFormat="1" ht="17.100000000000001" customHeight="1">
      <c r="A38" s="6" t="s">
        <v>34</v>
      </c>
      <c r="B38" s="4">
        <v>1</v>
      </c>
      <c r="C38" s="4">
        <v>10</v>
      </c>
      <c r="D38" s="4" t="s">
        <v>71</v>
      </c>
      <c r="E38" s="4" t="s">
        <v>71</v>
      </c>
      <c r="F38" s="4" t="s">
        <v>71</v>
      </c>
      <c r="G38" s="4">
        <v>10</v>
      </c>
      <c r="H38" s="4">
        <v>200</v>
      </c>
      <c r="I38" s="41">
        <v>191</v>
      </c>
      <c r="J38" s="60">
        <f t="shared" si="13"/>
        <v>0.95499999999999996</v>
      </c>
      <c r="K38" s="4">
        <v>15</v>
      </c>
      <c r="L38" s="4">
        <v>8858</v>
      </c>
      <c r="M38" s="4">
        <v>4976</v>
      </c>
      <c r="N38" s="60">
        <f t="shared" si="3"/>
        <v>0.56175208850756375</v>
      </c>
      <c r="O38" s="4">
        <v>5</v>
      </c>
      <c r="P38" s="24">
        <f t="shared" si="14"/>
        <v>0.90445868141792718</v>
      </c>
      <c r="Q38" s="48">
        <v>73745</v>
      </c>
      <c r="R38" s="19">
        <f t="shared" si="5"/>
        <v>53632.7</v>
      </c>
      <c r="S38" s="19">
        <f t="shared" si="15"/>
        <v>48508.6</v>
      </c>
      <c r="T38" s="19">
        <f t="shared" si="16"/>
        <v>-5124.0999999999985</v>
      </c>
      <c r="U38" s="19">
        <v>2199.8000000000002</v>
      </c>
      <c r="V38" s="19">
        <f t="shared" si="17"/>
        <v>46308.799999999996</v>
      </c>
      <c r="W38" s="19"/>
      <c r="X38" s="19">
        <v>6704.1</v>
      </c>
      <c r="Y38" s="19"/>
      <c r="Z38" s="19">
        <v>6704.1</v>
      </c>
      <c r="AA38" s="19">
        <v>6704.1</v>
      </c>
      <c r="AB38" s="19">
        <v>6392.5</v>
      </c>
      <c r="AC38" s="19">
        <v>3533.8</v>
      </c>
      <c r="AD38" s="19">
        <v>5567.7</v>
      </c>
      <c r="AE38" s="19">
        <v>5790.2</v>
      </c>
      <c r="AF38" s="19">
        <f t="shared" si="9"/>
        <v>4912.3</v>
      </c>
      <c r="AG38" s="42"/>
      <c r="AH38" s="41"/>
      <c r="AI38" s="42"/>
      <c r="AJ38" s="19">
        <f t="shared" si="10"/>
        <v>4912.3</v>
      </c>
      <c r="AK38" s="1"/>
      <c r="AL38" s="1"/>
      <c r="AM38" s="1"/>
      <c r="AN38" s="36"/>
      <c r="AO38" s="36"/>
      <c r="AP38" s="36"/>
      <c r="AQ38" s="1"/>
    </row>
    <row r="39" spans="1:43" s="2" customFormat="1" ht="17.100000000000001" customHeight="1">
      <c r="A39" s="6" t="s">
        <v>35</v>
      </c>
      <c r="B39" s="4">
        <v>1</v>
      </c>
      <c r="C39" s="4">
        <v>10</v>
      </c>
      <c r="D39" s="4" t="s">
        <v>71</v>
      </c>
      <c r="E39" s="4" t="s">
        <v>71</v>
      </c>
      <c r="F39" s="4" t="s">
        <v>71</v>
      </c>
      <c r="G39" s="4">
        <v>10</v>
      </c>
      <c r="H39" s="4">
        <v>200</v>
      </c>
      <c r="I39" s="41">
        <v>200</v>
      </c>
      <c r="J39" s="60">
        <f t="shared" si="13"/>
        <v>1</v>
      </c>
      <c r="K39" s="4">
        <v>15</v>
      </c>
      <c r="L39" s="4">
        <v>2906</v>
      </c>
      <c r="M39" s="4">
        <v>2890</v>
      </c>
      <c r="N39" s="60">
        <f t="shared" si="3"/>
        <v>0.99449415003441155</v>
      </c>
      <c r="O39" s="4">
        <v>5</v>
      </c>
      <c r="P39" s="24">
        <f t="shared" si="14"/>
        <v>0.99908235833906855</v>
      </c>
      <c r="Q39" s="48">
        <v>58006</v>
      </c>
      <c r="R39" s="19">
        <f t="shared" si="5"/>
        <v>42186.2</v>
      </c>
      <c r="S39" s="19">
        <f t="shared" si="15"/>
        <v>42147.5</v>
      </c>
      <c r="T39" s="19">
        <f t="shared" si="16"/>
        <v>-38.69999999999709</v>
      </c>
      <c r="U39" s="19"/>
      <c r="V39" s="19">
        <f t="shared" si="17"/>
        <v>42147.5</v>
      </c>
      <c r="W39" s="19"/>
      <c r="X39" s="19">
        <v>5273.3</v>
      </c>
      <c r="Y39" s="19"/>
      <c r="Z39" s="19">
        <v>5273.2</v>
      </c>
      <c r="AA39" s="19">
        <v>5273.3</v>
      </c>
      <c r="AB39" s="19">
        <v>5448.5</v>
      </c>
      <c r="AC39" s="19">
        <v>5407.7</v>
      </c>
      <c r="AD39" s="19">
        <v>5335.1</v>
      </c>
      <c r="AE39" s="19">
        <v>5123.5</v>
      </c>
      <c r="AF39" s="19">
        <f t="shared" si="9"/>
        <v>5012.8999999999996</v>
      </c>
      <c r="AG39" s="41"/>
      <c r="AH39" s="41"/>
      <c r="AI39" s="42"/>
      <c r="AJ39" s="19">
        <f t="shared" si="10"/>
        <v>5012.8999999999996</v>
      </c>
      <c r="AK39" s="1"/>
      <c r="AL39" s="1"/>
      <c r="AM39" s="1"/>
      <c r="AN39" s="36"/>
      <c r="AO39" s="36"/>
      <c r="AP39" s="36"/>
      <c r="AQ39" s="1"/>
    </row>
    <row r="40" spans="1:43" s="2" customFormat="1" ht="17.100000000000001" customHeight="1">
      <c r="A40" s="6" t="s">
        <v>36</v>
      </c>
      <c r="B40" s="4">
        <v>1</v>
      </c>
      <c r="C40" s="4">
        <v>10</v>
      </c>
      <c r="D40" s="4" t="s">
        <v>71</v>
      </c>
      <c r="E40" s="4" t="s">
        <v>71</v>
      </c>
      <c r="F40" s="4" t="s">
        <v>71</v>
      </c>
      <c r="G40" s="4">
        <v>10</v>
      </c>
      <c r="H40" s="4">
        <v>200</v>
      </c>
      <c r="I40" s="41">
        <v>197</v>
      </c>
      <c r="J40" s="60">
        <f t="shared" si="13"/>
        <v>0.98499999999999999</v>
      </c>
      <c r="K40" s="4">
        <v>15</v>
      </c>
      <c r="L40" s="4">
        <v>8150</v>
      </c>
      <c r="M40" s="4">
        <v>10694</v>
      </c>
      <c r="N40" s="60">
        <f t="shared" si="3"/>
        <v>1.2112147239263804</v>
      </c>
      <c r="O40" s="4">
        <v>5</v>
      </c>
      <c r="P40" s="24">
        <f t="shared" si="14"/>
        <v>1.02770245398773</v>
      </c>
      <c r="Q40" s="48">
        <v>62185</v>
      </c>
      <c r="R40" s="19">
        <f t="shared" si="5"/>
        <v>45225.5</v>
      </c>
      <c r="S40" s="19">
        <f t="shared" si="15"/>
        <v>46478.400000000001</v>
      </c>
      <c r="T40" s="19">
        <f t="shared" si="16"/>
        <v>1252.9000000000015</v>
      </c>
      <c r="U40" s="19">
        <v>4210.6000000000004</v>
      </c>
      <c r="V40" s="19">
        <f t="shared" si="17"/>
        <v>42267.8</v>
      </c>
      <c r="W40" s="19"/>
      <c r="X40" s="19">
        <v>5653.2</v>
      </c>
      <c r="Y40" s="19">
        <v>12100</v>
      </c>
      <c r="Z40" s="19">
        <v>0</v>
      </c>
      <c r="AA40" s="19">
        <v>0</v>
      </c>
      <c r="AB40" s="19">
        <v>5145.8</v>
      </c>
      <c r="AC40" s="19">
        <v>5572.9</v>
      </c>
      <c r="AD40" s="19">
        <v>4852.3</v>
      </c>
      <c r="AE40" s="19">
        <v>4900.8</v>
      </c>
      <c r="AF40" s="19">
        <f t="shared" si="9"/>
        <v>4042.8</v>
      </c>
      <c r="AG40" s="41"/>
      <c r="AH40" s="41"/>
      <c r="AI40" s="42"/>
      <c r="AJ40" s="19">
        <f t="shared" si="10"/>
        <v>4042.8</v>
      </c>
      <c r="AK40" s="1"/>
      <c r="AL40" s="1"/>
      <c r="AM40" s="1"/>
      <c r="AN40" s="36"/>
      <c r="AO40" s="36"/>
      <c r="AP40" s="36"/>
      <c r="AQ40" s="1"/>
    </row>
    <row r="41" spans="1:43" s="2" customFormat="1" ht="17.100000000000001" customHeight="1">
      <c r="A41" s="6" t="s">
        <v>37</v>
      </c>
      <c r="B41" s="4">
        <v>1</v>
      </c>
      <c r="C41" s="4">
        <v>10</v>
      </c>
      <c r="D41" s="4" t="s">
        <v>71</v>
      </c>
      <c r="E41" s="4" t="s">
        <v>71</v>
      </c>
      <c r="F41" s="4" t="s">
        <v>71</v>
      </c>
      <c r="G41" s="4">
        <v>10</v>
      </c>
      <c r="H41" s="4">
        <v>200</v>
      </c>
      <c r="I41" s="41">
        <v>180</v>
      </c>
      <c r="J41" s="60">
        <f t="shared" si="13"/>
        <v>0.9</v>
      </c>
      <c r="K41" s="4">
        <v>15</v>
      </c>
      <c r="L41" s="4">
        <v>75892</v>
      </c>
      <c r="M41" s="4">
        <v>154097</v>
      </c>
      <c r="N41" s="60">
        <f t="shared" si="3"/>
        <v>1.2830477520687291</v>
      </c>
      <c r="O41" s="4">
        <v>5</v>
      </c>
      <c r="P41" s="24">
        <f t="shared" si="14"/>
        <v>0.99717462534478818</v>
      </c>
      <c r="Q41" s="48">
        <v>90369</v>
      </c>
      <c r="R41" s="19">
        <f t="shared" si="5"/>
        <v>65722.899999999994</v>
      </c>
      <c r="S41" s="19">
        <f t="shared" si="15"/>
        <v>65537.2</v>
      </c>
      <c r="T41" s="19">
        <f t="shared" si="16"/>
        <v>-185.69999999999709</v>
      </c>
      <c r="U41" s="19"/>
      <c r="V41" s="19">
        <f t="shared" si="17"/>
        <v>65537.2</v>
      </c>
      <c r="W41" s="19"/>
      <c r="X41" s="19">
        <v>8215.4</v>
      </c>
      <c r="Y41" s="19"/>
      <c r="Z41" s="19">
        <v>8215.2999999999993</v>
      </c>
      <c r="AA41" s="19">
        <v>8215.4</v>
      </c>
      <c r="AB41" s="19">
        <v>7064.2</v>
      </c>
      <c r="AC41" s="19">
        <v>10208.4</v>
      </c>
      <c r="AD41" s="19">
        <v>8383.7999999999993</v>
      </c>
      <c r="AE41" s="19">
        <v>8239</v>
      </c>
      <c r="AF41" s="19">
        <f t="shared" si="9"/>
        <v>6995.7</v>
      </c>
      <c r="AG41" s="41"/>
      <c r="AH41" s="41"/>
      <c r="AI41" s="42"/>
      <c r="AJ41" s="19">
        <f t="shared" si="10"/>
        <v>6995.7</v>
      </c>
      <c r="AK41" s="1"/>
      <c r="AL41" s="1"/>
      <c r="AM41" s="1"/>
      <c r="AN41" s="36"/>
      <c r="AO41" s="36"/>
      <c r="AP41" s="36"/>
      <c r="AQ41" s="1"/>
    </row>
    <row r="42" spans="1:43" s="2" customFormat="1" ht="17.100000000000001" customHeight="1">
      <c r="A42" s="6" t="s">
        <v>38</v>
      </c>
      <c r="B42" s="4">
        <v>1</v>
      </c>
      <c r="C42" s="4">
        <v>10</v>
      </c>
      <c r="D42" s="4" t="s">
        <v>71</v>
      </c>
      <c r="E42" s="4" t="s">
        <v>71</v>
      </c>
      <c r="F42" s="4" t="s">
        <v>71</v>
      </c>
      <c r="G42" s="4">
        <v>10</v>
      </c>
      <c r="H42" s="4">
        <v>200</v>
      </c>
      <c r="I42" s="41">
        <v>197</v>
      </c>
      <c r="J42" s="60">
        <f t="shared" si="13"/>
        <v>0.98499999999999999</v>
      </c>
      <c r="K42" s="4">
        <v>15</v>
      </c>
      <c r="L42" s="4">
        <v>6612</v>
      </c>
      <c r="M42" s="4">
        <v>10230</v>
      </c>
      <c r="N42" s="60">
        <f t="shared" si="3"/>
        <v>1.2347186932849366</v>
      </c>
      <c r="O42" s="4">
        <v>5</v>
      </c>
      <c r="P42" s="24">
        <f t="shared" si="14"/>
        <v>1.0316197822141562</v>
      </c>
      <c r="Q42" s="48">
        <v>48981</v>
      </c>
      <c r="R42" s="19">
        <f t="shared" si="5"/>
        <v>35622.5</v>
      </c>
      <c r="S42" s="19">
        <f t="shared" si="15"/>
        <v>36748.9</v>
      </c>
      <c r="T42" s="19">
        <f t="shared" si="16"/>
        <v>1126.4000000000015</v>
      </c>
      <c r="U42" s="19">
        <v>273.39999999999998</v>
      </c>
      <c r="V42" s="19">
        <f t="shared" si="17"/>
        <v>36475.5</v>
      </c>
      <c r="W42" s="19"/>
      <c r="X42" s="19">
        <v>4452.8</v>
      </c>
      <c r="Y42" s="19"/>
      <c r="Z42" s="19">
        <v>4452.8</v>
      </c>
      <c r="AA42" s="19">
        <v>4452.8999999999996</v>
      </c>
      <c r="AB42" s="19">
        <v>4476.3999999999996</v>
      </c>
      <c r="AC42" s="19">
        <v>5300.3</v>
      </c>
      <c r="AD42" s="19">
        <v>4572.3</v>
      </c>
      <c r="AE42" s="19">
        <v>4510.8999999999996</v>
      </c>
      <c r="AF42" s="19">
        <f t="shared" si="9"/>
        <v>4257.1000000000004</v>
      </c>
      <c r="AG42" s="42"/>
      <c r="AH42" s="41"/>
      <c r="AI42" s="42"/>
      <c r="AJ42" s="19">
        <f t="shared" si="10"/>
        <v>4257.1000000000004</v>
      </c>
      <c r="AK42" s="1"/>
      <c r="AL42" s="1"/>
      <c r="AM42" s="1"/>
      <c r="AN42" s="36"/>
      <c r="AO42" s="36"/>
      <c r="AP42" s="36"/>
      <c r="AQ42" s="1"/>
    </row>
    <row r="43" spans="1:43" s="2" customFormat="1" ht="17.100000000000001" customHeight="1">
      <c r="A43" s="6" t="s">
        <v>2</v>
      </c>
      <c r="B43" s="4">
        <v>1</v>
      </c>
      <c r="C43" s="4">
        <v>10</v>
      </c>
      <c r="D43" s="4" t="s">
        <v>71</v>
      </c>
      <c r="E43" s="4" t="s">
        <v>71</v>
      </c>
      <c r="F43" s="4" t="s">
        <v>71</v>
      </c>
      <c r="G43" s="4">
        <v>10</v>
      </c>
      <c r="H43" s="4">
        <v>200</v>
      </c>
      <c r="I43" s="41">
        <v>198.6</v>
      </c>
      <c r="J43" s="60">
        <f t="shared" si="13"/>
        <v>0.99299999999999999</v>
      </c>
      <c r="K43" s="4">
        <v>15</v>
      </c>
      <c r="L43" s="4">
        <v>1410</v>
      </c>
      <c r="M43" s="4">
        <v>1565</v>
      </c>
      <c r="N43" s="60">
        <f t="shared" si="3"/>
        <v>1.1099290780141844</v>
      </c>
      <c r="O43" s="4">
        <v>5</v>
      </c>
      <c r="P43" s="24">
        <f t="shared" si="14"/>
        <v>1.0148215130023641</v>
      </c>
      <c r="Q43" s="48">
        <v>48297</v>
      </c>
      <c r="R43" s="19">
        <f t="shared" si="5"/>
        <v>35125.1</v>
      </c>
      <c r="S43" s="19">
        <f t="shared" si="15"/>
        <v>35645.699999999997</v>
      </c>
      <c r="T43" s="19">
        <f t="shared" si="16"/>
        <v>520.59999999999854</v>
      </c>
      <c r="U43" s="19">
        <v>249.2</v>
      </c>
      <c r="V43" s="19">
        <f t="shared" si="17"/>
        <v>35396.5</v>
      </c>
      <c r="W43" s="19"/>
      <c r="X43" s="19">
        <v>4390.6000000000004</v>
      </c>
      <c r="Y43" s="19"/>
      <c r="Z43" s="19">
        <v>4390.7</v>
      </c>
      <c r="AA43" s="19">
        <v>4390.6000000000004</v>
      </c>
      <c r="AB43" s="19">
        <v>4447.3</v>
      </c>
      <c r="AC43" s="19">
        <v>3697.6</v>
      </c>
      <c r="AD43" s="19">
        <v>4213.5</v>
      </c>
      <c r="AE43" s="19">
        <v>5663.1</v>
      </c>
      <c r="AF43" s="19">
        <f t="shared" si="9"/>
        <v>4203.1000000000004</v>
      </c>
      <c r="AG43" s="42"/>
      <c r="AH43" s="41"/>
      <c r="AI43" s="42"/>
      <c r="AJ43" s="19">
        <f t="shared" si="10"/>
        <v>4203.1000000000004</v>
      </c>
      <c r="AK43" s="1"/>
      <c r="AL43" s="1"/>
      <c r="AM43" s="1"/>
      <c r="AN43" s="36"/>
      <c r="AO43" s="36"/>
      <c r="AP43" s="36"/>
      <c r="AQ43" s="1"/>
    </row>
    <row r="44" spans="1:43" s="2" customFormat="1" ht="17.100000000000001" customHeight="1">
      <c r="A44" s="6" t="s">
        <v>39</v>
      </c>
      <c r="B44" s="4">
        <v>1</v>
      </c>
      <c r="C44" s="4">
        <v>10</v>
      </c>
      <c r="D44" s="4" t="s">
        <v>71</v>
      </c>
      <c r="E44" s="4" t="s">
        <v>71</v>
      </c>
      <c r="F44" s="4" t="s">
        <v>71</v>
      </c>
      <c r="G44" s="4">
        <v>10</v>
      </c>
      <c r="H44" s="4">
        <v>200</v>
      </c>
      <c r="I44" s="41">
        <v>196</v>
      </c>
      <c r="J44" s="60">
        <f t="shared" si="13"/>
        <v>0.98</v>
      </c>
      <c r="K44" s="4">
        <v>15</v>
      </c>
      <c r="L44" s="4">
        <v>1648</v>
      </c>
      <c r="M44" s="4">
        <v>3064</v>
      </c>
      <c r="N44" s="60">
        <f t="shared" si="3"/>
        <v>1.2659223300970874</v>
      </c>
      <c r="O44" s="4">
        <v>5</v>
      </c>
      <c r="P44" s="24">
        <f t="shared" si="14"/>
        <v>1.0343203883495145</v>
      </c>
      <c r="Q44" s="48">
        <v>39783</v>
      </c>
      <c r="R44" s="19">
        <f t="shared" si="5"/>
        <v>28933.1</v>
      </c>
      <c r="S44" s="19">
        <f t="shared" si="15"/>
        <v>29926.1</v>
      </c>
      <c r="T44" s="19">
        <f t="shared" si="16"/>
        <v>993</v>
      </c>
      <c r="U44" s="19">
        <v>1038.8</v>
      </c>
      <c r="V44" s="19">
        <f t="shared" si="17"/>
        <v>28887.3</v>
      </c>
      <c r="W44" s="19"/>
      <c r="X44" s="19">
        <v>3616.6</v>
      </c>
      <c r="Y44" s="19"/>
      <c r="Z44" s="19">
        <v>3616.7</v>
      </c>
      <c r="AA44" s="19">
        <v>3616.6</v>
      </c>
      <c r="AB44" s="19">
        <v>3468.8</v>
      </c>
      <c r="AC44" s="19">
        <v>4255</v>
      </c>
      <c r="AD44" s="19">
        <v>3507</v>
      </c>
      <c r="AE44" s="19">
        <v>3363.2</v>
      </c>
      <c r="AF44" s="19">
        <f t="shared" si="9"/>
        <v>3443.4</v>
      </c>
      <c r="AG44" s="42"/>
      <c r="AH44" s="41"/>
      <c r="AI44" s="42"/>
      <c r="AJ44" s="19">
        <f t="shared" si="10"/>
        <v>3443.4</v>
      </c>
      <c r="AK44" s="1"/>
      <c r="AL44" s="1"/>
      <c r="AM44" s="1"/>
      <c r="AN44" s="36"/>
      <c r="AO44" s="36"/>
      <c r="AP44" s="36"/>
      <c r="AQ44" s="1"/>
    </row>
    <row r="45" spans="1:43" s="2" customFormat="1" ht="17.100000000000001" customHeight="1">
      <c r="A45" s="6" t="s">
        <v>3</v>
      </c>
      <c r="B45" s="4">
        <v>1</v>
      </c>
      <c r="C45" s="4">
        <v>10</v>
      </c>
      <c r="D45" s="4" t="s">
        <v>71</v>
      </c>
      <c r="E45" s="4" t="s">
        <v>71</v>
      </c>
      <c r="F45" s="4" t="s">
        <v>71</v>
      </c>
      <c r="G45" s="4">
        <v>10</v>
      </c>
      <c r="H45" s="4">
        <v>200</v>
      </c>
      <c r="I45" s="41">
        <v>195</v>
      </c>
      <c r="J45" s="60">
        <f t="shared" si="13"/>
        <v>0.97499999999999998</v>
      </c>
      <c r="K45" s="4">
        <v>15</v>
      </c>
      <c r="L45" s="4">
        <v>2294</v>
      </c>
      <c r="M45" s="4">
        <v>2586</v>
      </c>
      <c r="N45" s="60">
        <f t="shared" si="3"/>
        <v>1.1272885789014822</v>
      </c>
      <c r="O45" s="4">
        <v>5</v>
      </c>
      <c r="P45" s="24">
        <f t="shared" si="14"/>
        <v>1.0087147631502471</v>
      </c>
      <c r="Q45" s="48">
        <v>40330</v>
      </c>
      <c r="R45" s="19">
        <f t="shared" si="5"/>
        <v>29330.9</v>
      </c>
      <c r="S45" s="19">
        <f t="shared" si="15"/>
        <v>29586.5</v>
      </c>
      <c r="T45" s="19">
        <f t="shared" si="16"/>
        <v>255.59999999999854</v>
      </c>
      <c r="U45" s="19">
        <v>1020.2</v>
      </c>
      <c r="V45" s="19">
        <f t="shared" si="17"/>
        <v>28566.3</v>
      </c>
      <c r="W45" s="19"/>
      <c r="X45" s="19">
        <v>3666.4</v>
      </c>
      <c r="Y45" s="19"/>
      <c r="Z45" s="19">
        <v>3666.3</v>
      </c>
      <c r="AA45" s="19">
        <v>3666.4</v>
      </c>
      <c r="AB45" s="19">
        <v>3654.7</v>
      </c>
      <c r="AC45" s="19">
        <v>3517.3</v>
      </c>
      <c r="AD45" s="19">
        <v>3430.2</v>
      </c>
      <c r="AE45" s="19">
        <v>3825.5</v>
      </c>
      <c r="AF45" s="19">
        <f t="shared" si="9"/>
        <v>3139.5</v>
      </c>
      <c r="AG45" s="42"/>
      <c r="AH45" s="41"/>
      <c r="AI45" s="42"/>
      <c r="AJ45" s="19">
        <f t="shared" si="10"/>
        <v>3139.5</v>
      </c>
      <c r="AK45" s="1"/>
      <c r="AL45" s="1"/>
      <c r="AM45" s="1"/>
      <c r="AN45" s="36"/>
      <c r="AO45" s="36"/>
      <c r="AP45" s="36"/>
      <c r="AQ45" s="1"/>
    </row>
    <row r="46" spans="1:43" s="2" customFormat="1" ht="17.100000000000001" customHeight="1">
      <c r="A46" s="6" t="s">
        <v>40</v>
      </c>
      <c r="B46" s="4">
        <v>1</v>
      </c>
      <c r="C46" s="4">
        <v>10</v>
      </c>
      <c r="D46" s="4" t="s">
        <v>71</v>
      </c>
      <c r="E46" s="4" t="s">
        <v>71</v>
      </c>
      <c r="F46" s="4" t="s">
        <v>71</v>
      </c>
      <c r="G46" s="4">
        <v>10</v>
      </c>
      <c r="H46" s="4">
        <v>200</v>
      </c>
      <c r="I46" s="41">
        <v>197</v>
      </c>
      <c r="J46" s="60">
        <f t="shared" si="13"/>
        <v>0.98499999999999999</v>
      </c>
      <c r="K46" s="4">
        <v>15</v>
      </c>
      <c r="L46" s="4">
        <v>5534</v>
      </c>
      <c r="M46" s="4">
        <v>3909</v>
      </c>
      <c r="N46" s="60">
        <f>IF(O46=0,0,IF(L46=0,1,IF(M46&lt;0,0,IF(M46/L46&gt;1.2,IF((M46/L46-1.2)*0.1+1.2&gt;1.3,1.3,(M46/L46-1.2)*0.1+1.2),M46/L46))))</f>
        <v>0.7063606794362125</v>
      </c>
      <c r="O46" s="4">
        <v>5</v>
      </c>
      <c r="P46" s="24">
        <f>(B46*C46+J46*K46+N46*O46)/(C46+K46+O46)</f>
        <v>0.94356011323936861</v>
      </c>
      <c r="Q46" s="48">
        <v>67637</v>
      </c>
      <c r="R46" s="19">
        <f>ROUND(Q46/11*8,1)</f>
        <v>49190.5</v>
      </c>
      <c r="S46" s="19">
        <f t="shared" si="15"/>
        <v>46414.2</v>
      </c>
      <c r="T46" s="19">
        <f t="shared" si="16"/>
        <v>-2776.3000000000029</v>
      </c>
      <c r="U46" s="19">
        <v>1600.6</v>
      </c>
      <c r="V46" s="19">
        <f t="shared" si="17"/>
        <v>44813.599999999999</v>
      </c>
      <c r="W46" s="19"/>
      <c r="X46" s="19">
        <v>6148.8</v>
      </c>
      <c r="Y46" s="19"/>
      <c r="Z46" s="19">
        <v>6148.8</v>
      </c>
      <c r="AA46" s="19">
        <v>6148.9</v>
      </c>
      <c r="AB46" s="19">
        <v>5490.2</v>
      </c>
      <c r="AC46" s="19">
        <v>5261.9</v>
      </c>
      <c r="AD46" s="19">
        <v>5519.6</v>
      </c>
      <c r="AE46" s="19">
        <v>4056</v>
      </c>
      <c r="AF46" s="19">
        <f t="shared" si="9"/>
        <v>6039.4</v>
      </c>
      <c r="AG46" s="41"/>
      <c r="AH46" s="41"/>
      <c r="AI46" s="42"/>
      <c r="AJ46" s="19">
        <f t="shared" si="10"/>
        <v>6039.4</v>
      </c>
      <c r="AK46" s="1"/>
      <c r="AL46" s="1"/>
      <c r="AM46" s="1"/>
      <c r="AN46" s="36"/>
      <c r="AO46" s="36"/>
      <c r="AP46" s="36"/>
      <c r="AQ46" s="1"/>
    </row>
    <row r="47" spans="1:43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37">
        <f>L8+L19</f>
        <v>1126306</v>
      </c>
      <c r="M47" s="37">
        <f>M8+M19</f>
        <v>966150</v>
      </c>
      <c r="N47" s="53">
        <f>IF(M47/L47&gt;1.2,IF((M47/L47-1.2)*0.1+1.2&gt;1.3,1.3,(M47/L47-1.2)*0.1+1.2),M47/L47)</f>
        <v>0.85780418465319375</v>
      </c>
      <c r="O47" s="21"/>
      <c r="P47" s="47">
        <f>S47/R47</f>
        <v>0.92439996275221481</v>
      </c>
      <c r="Q47" s="46">
        <f>Q8+Q19</f>
        <v>3329728</v>
      </c>
      <c r="R47" s="23">
        <f t="shared" ref="R47" si="18">R8+R19</f>
        <v>2421620.5</v>
      </c>
      <c r="S47" s="23">
        <f>S8+S19</f>
        <v>2238545.9</v>
      </c>
      <c r="T47" s="23">
        <f>T8+T19</f>
        <v>-183074.60000000003</v>
      </c>
      <c r="U47" s="23">
        <f t="shared" ref="U47:V47" si="19">U8+U19</f>
        <v>74604.100000000006</v>
      </c>
      <c r="V47" s="23">
        <f t="shared" si="19"/>
        <v>2163941.7999999998</v>
      </c>
      <c r="W47" s="23">
        <f>W8+W19</f>
        <v>7282.6</v>
      </c>
      <c r="X47" s="23">
        <f t="shared" ref="X47:AE47" si="20">X8+X19</f>
        <v>298790</v>
      </c>
      <c r="Y47" s="23">
        <f t="shared" si="20"/>
        <v>12100</v>
      </c>
      <c r="Z47" s="23">
        <f t="shared" si="20"/>
        <v>293136.5</v>
      </c>
      <c r="AA47" s="23">
        <f t="shared" si="20"/>
        <v>297592.09999999998</v>
      </c>
      <c r="AB47" s="23">
        <f t="shared" si="20"/>
        <v>278631.59999999998</v>
      </c>
      <c r="AC47" s="23">
        <f t="shared" si="20"/>
        <v>242825.5</v>
      </c>
      <c r="AD47" s="23">
        <f t="shared" si="20"/>
        <v>243958.90000000002</v>
      </c>
      <c r="AE47" s="23">
        <f t="shared" si="20"/>
        <v>234153.89999999997</v>
      </c>
      <c r="AF47" s="23">
        <f>AF8+AF19</f>
        <v>255470.7</v>
      </c>
      <c r="AG47" s="37">
        <f>COUNTIF(AG9:AG46,"+")</f>
        <v>0</v>
      </c>
      <c r="AH47" s="37">
        <f>COUNTIF(AH9:AH46,"+")</f>
        <v>0</v>
      </c>
      <c r="AI47" s="37">
        <f>COUNTIF(AI9:AI46,"+")</f>
        <v>0</v>
      </c>
      <c r="AJ47" s="23">
        <f>AJ8+AJ19</f>
        <v>255470.7</v>
      </c>
      <c r="AK47" s="1"/>
      <c r="AL47" s="1"/>
      <c r="AM47" s="1"/>
      <c r="AN47" s="36"/>
      <c r="AO47" s="36"/>
      <c r="AP47" s="36"/>
      <c r="AQ47" s="1"/>
    </row>
    <row r="48" spans="1:43" ht="21" customHeight="1"/>
    <row r="49" spans="1:36" ht="17.25" customHeight="1">
      <c r="A49" s="39" t="s">
        <v>50</v>
      </c>
      <c r="B49" s="38"/>
      <c r="C49" s="64" t="s">
        <v>52</v>
      </c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44"/>
      <c r="AJ49" s="44"/>
    </row>
    <row r="50" spans="1:36" ht="17.25" customHeight="1">
      <c r="B50" s="40" t="s">
        <v>51</v>
      </c>
      <c r="C50" s="64" t="s">
        <v>55</v>
      </c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44"/>
      <c r="AJ50" s="44"/>
    </row>
    <row r="52" spans="1:36" ht="15" customHeight="1"/>
  </sheetData>
  <mergeCells count="32">
    <mergeCell ref="W3:AE4"/>
    <mergeCell ref="AJ3:AJ6"/>
    <mergeCell ref="A3:A6"/>
    <mergeCell ref="Q3:Q6"/>
    <mergeCell ref="T3:T6"/>
    <mergeCell ref="S3:S6"/>
    <mergeCell ref="P3:P6"/>
    <mergeCell ref="R3:R6"/>
    <mergeCell ref="AG3:AI3"/>
    <mergeCell ref="AG4:AH4"/>
    <mergeCell ref="AI4:AI6"/>
    <mergeCell ref="B3:C5"/>
    <mergeCell ref="AF3:AF6"/>
    <mergeCell ref="Y5:Y6"/>
    <mergeCell ref="X5:X6"/>
    <mergeCell ref="AB5:AB6"/>
    <mergeCell ref="B1:Q1"/>
    <mergeCell ref="C49:AH49"/>
    <mergeCell ref="C50:AH50"/>
    <mergeCell ref="AG5:AG6"/>
    <mergeCell ref="AH5:AH6"/>
    <mergeCell ref="D3:G5"/>
    <mergeCell ref="H3:K5"/>
    <mergeCell ref="L3:O5"/>
    <mergeCell ref="Z5:Z6"/>
    <mergeCell ref="W5:W6"/>
    <mergeCell ref="AA5:AA6"/>
    <mergeCell ref="U3:U6"/>
    <mergeCell ref="V3:V6"/>
    <mergeCell ref="AC5:AC6"/>
    <mergeCell ref="AD5:AD6"/>
    <mergeCell ref="AE5:AE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0" fitToHeight="0" pageOrder="overThenDown" orientation="landscape" r:id="rId1"/>
  <headerFooter differentFirst="1" alignWithMargins="0">
    <oddFooter>&amp;R&amp;P</oddFooter>
  </headerFooter>
  <colBreaks count="1" manualBreakCount="1">
    <brk id="2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1" t="s">
        <v>103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35.75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76</v>
      </c>
      <c r="G3" s="87"/>
      <c r="H3" s="87"/>
      <c r="I3" s="86" t="s">
        <v>77</v>
      </c>
      <c r="J3" s="87"/>
      <c r="K3" s="87"/>
      <c r="L3" s="86" t="s">
        <v>78</v>
      </c>
      <c r="M3" s="87"/>
      <c r="N3" s="87"/>
      <c r="O3" s="84" t="s">
        <v>44</v>
      </c>
    </row>
    <row r="4" spans="1:15" ht="32.1" customHeight="1">
      <c r="A4" s="82"/>
      <c r="B4" s="83"/>
      <c r="C4" s="12" t="s">
        <v>42</v>
      </c>
      <c r="D4" s="12" t="s">
        <v>43</v>
      </c>
      <c r="E4" s="50" t="s">
        <v>79</v>
      </c>
      <c r="F4" s="12" t="s">
        <v>42</v>
      </c>
      <c r="G4" s="12" t="s">
        <v>43</v>
      </c>
      <c r="H4" s="54" t="s">
        <v>80</v>
      </c>
      <c r="I4" s="12" t="s">
        <v>42</v>
      </c>
      <c r="J4" s="12" t="s">
        <v>43</v>
      </c>
      <c r="K4" s="54" t="s">
        <v>81</v>
      </c>
      <c r="L4" s="12" t="s">
        <v>42</v>
      </c>
      <c r="M4" s="12" t="s">
        <v>43</v>
      </c>
      <c r="N4" s="54" t="s">
        <v>82</v>
      </c>
      <c r="O4" s="84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-180562.80000000005</v>
      </c>
      <c r="C6" s="28"/>
      <c r="D6" s="28"/>
      <c r="E6" s="28">
        <f>SUM(E7:E16)</f>
        <v>0</v>
      </c>
      <c r="F6" s="28"/>
      <c r="G6" s="28"/>
      <c r="H6" s="28">
        <f>SUM(H7:H16)</f>
        <v>0</v>
      </c>
      <c r="I6" s="28"/>
      <c r="J6" s="28"/>
      <c r="K6" s="28">
        <f>SUM(K7:K16)</f>
        <v>-25338.457859866809</v>
      </c>
      <c r="L6" s="28"/>
      <c r="M6" s="28"/>
      <c r="N6" s="28">
        <f>SUM(N7:N16)</f>
        <v>-155224.34214013326</v>
      </c>
      <c r="O6" s="28"/>
    </row>
    <row r="7" spans="1:15" ht="15" customHeight="1">
      <c r="A7" s="15" t="s">
        <v>5</v>
      </c>
      <c r="B7" s="29">
        <f>'Расчет дотаций'!T9</f>
        <v>-66409.099999999977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4" t="s">
        <v>71</v>
      </c>
      <c r="G7" s="4" t="s">
        <v>71</v>
      </c>
      <c r="H7" s="56" t="s">
        <v>71</v>
      </c>
      <c r="I7" s="33">
        <f>'Расчет дотаций'!J9-1</f>
        <v>-6.9999999999999951E-2</v>
      </c>
      <c r="J7" s="33">
        <f>I7*'Расчет дотаций'!K9</f>
        <v>-1.399999999999999</v>
      </c>
      <c r="K7" s="32">
        <f>$B7*J7/$O7</f>
        <v>-11669.579535653769</v>
      </c>
      <c r="L7" s="33">
        <f>'Расчет дотаций'!N9-1</f>
        <v>-0.43780685451401036</v>
      </c>
      <c r="M7" s="33">
        <f>L7*'Расчет дотаций'!O9</f>
        <v>-6.5671028177101558</v>
      </c>
      <c r="N7" s="32">
        <f>$B7*M7/$O7</f>
        <v>-54739.520464346213</v>
      </c>
      <c r="O7" s="31">
        <f>D7+J7+M7</f>
        <v>-7.9671028177101544</v>
      </c>
    </row>
    <row r="8" spans="1:15" ht="15" customHeight="1">
      <c r="A8" s="15" t="s">
        <v>6</v>
      </c>
      <c r="B8" s="29">
        <f>'Расчет дотаций'!T10</f>
        <v>-120265.40000000002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4" t="s">
        <v>71</v>
      </c>
      <c r="G8" s="4" t="s">
        <v>71</v>
      </c>
      <c r="H8" s="56" t="s">
        <v>71</v>
      </c>
      <c r="I8" s="33">
        <f>'Расчет дотаций'!J10-1</f>
        <v>-1.5499999999999958E-2</v>
      </c>
      <c r="J8" s="33">
        <f>I8*'Расчет дотаций'!K10</f>
        <v>-0.30999999999999917</v>
      </c>
      <c r="K8" s="32">
        <f t="shared" ref="K8:K44" si="1">$B8*J8/$O8</f>
        <v>-3084.8198805149514</v>
      </c>
      <c r="L8" s="33">
        <f>'Расчет дотаций'!N10-1</f>
        <v>-0.78504810100347155</v>
      </c>
      <c r="M8" s="33">
        <f>L8*'Расчет дотаций'!O10</f>
        <v>-11.775721515052073</v>
      </c>
      <c r="N8" s="32">
        <f t="shared" ref="N8:N44" si="2">$B8*M8/$O8</f>
        <v>-117180.58011948508</v>
      </c>
      <c r="O8" s="31">
        <f t="shared" ref="O8:O44" si="3">D8+J8+M8</f>
        <v>-12.085721515052072</v>
      </c>
    </row>
    <row r="9" spans="1:15" ht="15" customHeight="1">
      <c r="A9" s="15" t="s">
        <v>7</v>
      </c>
      <c r="B9" s="29">
        <f>'Расчет дотаций'!T11</f>
        <v>-2662.5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4" t="s">
        <v>71</v>
      </c>
      <c r="G9" s="4" t="s">
        <v>71</v>
      </c>
      <c r="H9" s="56" t="s">
        <v>71</v>
      </c>
      <c r="I9" s="33">
        <f>'Расчет дотаций'!J11-1</f>
        <v>-3.5000000000000031E-2</v>
      </c>
      <c r="J9" s="33">
        <f>I9*'Расчет дотаций'!K11</f>
        <v>-0.70000000000000062</v>
      </c>
      <c r="K9" s="32">
        <f t="shared" si="1"/>
        <v>-2276.6872137062737</v>
      </c>
      <c r="L9" s="33">
        <f>'Расчет дотаций'!N11-1</f>
        <v>-7.9082434272546021E-3</v>
      </c>
      <c r="M9" s="33">
        <f>L9*'Расчет дотаций'!O11</f>
        <v>-0.11862365140881903</v>
      </c>
      <c r="N9" s="32">
        <f t="shared" si="2"/>
        <v>-385.81278629372611</v>
      </c>
      <c r="O9" s="31">
        <f t="shared" si="3"/>
        <v>-0.81862365140881965</v>
      </c>
    </row>
    <row r="10" spans="1:15" ht="15" customHeight="1">
      <c r="A10" s="15" t="s">
        <v>8</v>
      </c>
      <c r="B10" s="29">
        <f>'Расчет дотаций'!T12</f>
        <v>2220.8999999999942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4" t="s">
        <v>71</v>
      </c>
      <c r="G10" s="4" t="s">
        <v>71</v>
      </c>
      <c r="H10" s="56" t="s">
        <v>71</v>
      </c>
      <c r="I10" s="33">
        <f>'Расчет дотаций'!J12-1</f>
        <v>-1.1500000000000066E-2</v>
      </c>
      <c r="J10" s="33">
        <f>I10*'Расчет дотаций'!K12</f>
        <v>-0.23000000000000131</v>
      </c>
      <c r="K10" s="32">
        <f t="shared" si="1"/>
        <v>-424.46027753213139</v>
      </c>
      <c r="L10" s="33">
        <f>'Расчет дотаций'!N12-1</f>
        <v>9.5561806532270754E-2</v>
      </c>
      <c r="M10" s="33">
        <f>L10*'Расчет дотаций'!O12</f>
        <v>1.4334270979840613</v>
      </c>
      <c r="N10" s="32">
        <f t="shared" si="2"/>
        <v>2645.3602775321256</v>
      </c>
      <c r="O10" s="31">
        <f t="shared" si="3"/>
        <v>1.20342709798406</v>
      </c>
    </row>
    <row r="11" spans="1:15" ht="15" customHeight="1">
      <c r="A11" s="15" t="s">
        <v>9</v>
      </c>
      <c r="B11" s="29">
        <f>'Расчет дотаций'!T13</f>
        <v>3194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4" t="s">
        <v>71</v>
      </c>
      <c r="G11" s="4" t="s">
        <v>71</v>
      </c>
      <c r="H11" s="56" t="s">
        <v>71</v>
      </c>
      <c r="I11" s="33">
        <f>'Расчет дотаций'!J13-1</f>
        <v>-0.12</v>
      </c>
      <c r="J11" s="33">
        <f>I11*'Расчет дотаций'!K13</f>
        <v>-2.4</v>
      </c>
      <c r="K11" s="32">
        <f t="shared" si="1"/>
        <v>-3650.2857142857124</v>
      </c>
      <c r="L11" s="33">
        <f>'Расчет дотаций'!N13-1</f>
        <v>0.30000000000000004</v>
      </c>
      <c r="M11" s="33">
        <f>L11*'Расчет дотаций'!O13</f>
        <v>4.5000000000000009</v>
      </c>
      <c r="N11" s="32">
        <f t="shared" si="2"/>
        <v>6844.2857142857129</v>
      </c>
      <c r="O11" s="31">
        <f t="shared" si="3"/>
        <v>2.100000000000001</v>
      </c>
    </row>
    <row r="12" spans="1:15" ht="15" customHeight="1">
      <c r="A12" s="15" t="s">
        <v>10</v>
      </c>
      <c r="B12" s="29">
        <f>'Расчет дотаций'!T14</f>
        <v>-3438.2000000000044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4" t="s">
        <v>71</v>
      </c>
      <c r="G12" s="4" t="s">
        <v>71</v>
      </c>
      <c r="H12" s="56" t="s">
        <v>71</v>
      </c>
      <c r="I12" s="33">
        <f>'Расчет дотаций'!J14-1</f>
        <v>-7.999999999999996E-2</v>
      </c>
      <c r="J12" s="33">
        <f>I12*'Расчет дотаций'!K14</f>
        <v>-1.5999999999999992</v>
      </c>
      <c r="K12" s="32">
        <f t="shared" si="1"/>
        <v>-1422.7034482758636</v>
      </c>
      <c r="L12" s="33">
        <f>'Расчет дотаций'!N14-1</f>
        <v>-0.15111111111111108</v>
      </c>
      <c r="M12" s="33">
        <f>L12*'Расчет дотаций'!O14</f>
        <v>-2.2666666666666662</v>
      </c>
      <c r="N12" s="32">
        <f t="shared" si="2"/>
        <v>-2015.4965517241408</v>
      </c>
      <c r="O12" s="31">
        <f t="shared" si="3"/>
        <v>-3.8666666666666654</v>
      </c>
    </row>
    <row r="13" spans="1:15" ht="15" customHeight="1">
      <c r="A13" s="15" t="s">
        <v>11</v>
      </c>
      <c r="B13" s="29">
        <f>'Расчет дотаций'!T15</f>
        <v>2950.8999999999942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4" t="s">
        <v>71</v>
      </c>
      <c r="G13" s="4" t="s">
        <v>71</v>
      </c>
      <c r="H13" s="56" t="s">
        <v>71</v>
      </c>
      <c r="I13" s="33">
        <f>'Расчет дотаций'!J15-1</f>
        <v>-6.4999999999999947E-2</v>
      </c>
      <c r="J13" s="33">
        <f>I13*'Расчет дотаций'!K15</f>
        <v>-1.2999999999999989</v>
      </c>
      <c r="K13" s="32">
        <f t="shared" si="1"/>
        <v>-1831.310685539823</v>
      </c>
      <c r="L13" s="33">
        <f>'Расчет дотаций'!N15-1</f>
        <v>0.22631782945736423</v>
      </c>
      <c r="M13" s="33">
        <f>L13*'Расчет дотаций'!O15</f>
        <v>3.3947674418604636</v>
      </c>
      <c r="N13" s="32">
        <f t="shared" si="2"/>
        <v>4782.210685539817</v>
      </c>
      <c r="O13" s="31">
        <f t="shared" si="3"/>
        <v>2.0947674418604647</v>
      </c>
    </row>
    <row r="14" spans="1:15" ht="15" customHeight="1">
      <c r="A14" s="15" t="s">
        <v>12</v>
      </c>
      <c r="B14" s="29">
        <f>'Расчет дотаций'!T16</f>
        <v>3539.3000000000029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4" t="s">
        <v>71</v>
      </c>
      <c r="G14" s="4" t="s">
        <v>71</v>
      </c>
      <c r="H14" s="56" t="s">
        <v>71</v>
      </c>
      <c r="I14" s="33">
        <f>'Расчет дотаций'!J16-1</f>
        <v>0</v>
      </c>
      <c r="J14" s="33">
        <f>I14*'Расчет дотаций'!K16</f>
        <v>0</v>
      </c>
      <c r="K14" s="32">
        <f t="shared" si="1"/>
        <v>0</v>
      </c>
      <c r="L14" s="33">
        <f>'Расчет дотаций'!N16-1</f>
        <v>0.18525766470971949</v>
      </c>
      <c r="M14" s="33">
        <f>L14*'Расчет дотаций'!O16</f>
        <v>2.7788649706457926</v>
      </c>
      <c r="N14" s="32">
        <f t="shared" si="2"/>
        <v>3539.3000000000025</v>
      </c>
      <c r="O14" s="31">
        <f t="shared" si="3"/>
        <v>2.7788649706457926</v>
      </c>
    </row>
    <row r="15" spans="1:15" ht="15" customHeight="1">
      <c r="A15" s="15" t="s">
        <v>13</v>
      </c>
      <c r="B15" s="29">
        <f>'Расчет дотаций'!T17</f>
        <v>4542.5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4" t="s">
        <v>71</v>
      </c>
      <c r="G15" s="4" t="s">
        <v>71</v>
      </c>
      <c r="H15" s="56" t="s">
        <v>71</v>
      </c>
      <c r="I15" s="33">
        <f>'Расчет дотаций'!J17-1</f>
        <v>-2.0000000000000018E-2</v>
      </c>
      <c r="J15" s="33">
        <f>I15*'Расчет дотаций'!K17</f>
        <v>-0.40000000000000036</v>
      </c>
      <c r="K15" s="32">
        <f t="shared" si="1"/>
        <v>-574.45394500919463</v>
      </c>
      <c r="L15" s="33">
        <f>'Расчет дотаций'!N17-1</f>
        <v>0.23753358539136027</v>
      </c>
      <c r="M15" s="33">
        <f>L15*'Расчет дотаций'!O17</f>
        <v>3.563003780870404</v>
      </c>
      <c r="N15" s="32">
        <f t="shared" si="2"/>
        <v>5116.9539450091943</v>
      </c>
      <c r="O15" s="31">
        <f t="shared" si="3"/>
        <v>3.1630037808704037</v>
      </c>
    </row>
    <row r="16" spans="1:15" ht="15" customHeight="1">
      <c r="A16" s="15" t="s">
        <v>14</v>
      </c>
      <c r="B16" s="29">
        <f>'Расчет дотаций'!T18</f>
        <v>-4235.2000000000044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4" t="s">
        <v>71</v>
      </c>
      <c r="G16" s="4" t="s">
        <v>71</v>
      </c>
      <c r="H16" s="56" t="s">
        <v>71</v>
      </c>
      <c r="I16" s="33">
        <f>'Расчет дотаций'!J18-1</f>
        <v>-2.1500000000000075E-2</v>
      </c>
      <c r="J16" s="33">
        <f>I16*'Расчет дотаций'!K18</f>
        <v>-0.43000000000000149</v>
      </c>
      <c r="K16" s="32">
        <f t="shared" si="1"/>
        <v>-404.15715934908945</v>
      </c>
      <c r="L16" s="33">
        <f>'Расчет дотаций'!N18-1</f>
        <v>-0.27173396674584327</v>
      </c>
      <c r="M16" s="33">
        <f>L16*'Расчет дотаций'!O18</f>
        <v>-4.0760095011876487</v>
      </c>
      <c r="N16" s="32">
        <f t="shared" si="2"/>
        <v>-3831.042840650915</v>
      </c>
      <c r="O16" s="31">
        <f t="shared" si="3"/>
        <v>-4.5060095011876502</v>
      </c>
    </row>
    <row r="17" spans="1:15" ht="15" customHeight="1">
      <c r="A17" s="16" t="s">
        <v>17</v>
      </c>
      <c r="B17" s="28">
        <f>SUM(B18:B44)</f>
        <v>-2511.7999999999847</v>
      </c>
      <c r="C17" s="28"/>
      <c r="D17" s="28"/>
      <c r="E17" s="28">
        <f>SUM(E18:E44)</f>
        <v>0</v>
      </c>
      <c r="F17" s="28"/>
      <c r="G17" s="28"/>
      <c r="H17" s="28">
        <f>SUM(H18:H44)</f>
        <v>0</v>
      </c>
      <c r="I17" s="28"/>
      <c r="J17" s="28"/>
      <c r="K17" s="57">
        <f>SUM(K18:K44)</f>
        <v>-14756.713260659302</v>
      </c>
      <c r="L17" s="57"/>
      <c r="M17" s="57"/>
      <c r="N17" s="57">
        <f>SUM(N18:N44)</f>
        <v>12244.913260659316</v>
      </c>
      <c r="O17" s="28"/>
    </row>
    <row r="18" spans="1:15" ht="15" customHeight="1">
      <c r="A18" s="17" t="s">
        <v>0</v>
      </c>
      <c r="B18" s="29">
        <f>'Расчет дотаций'!T20</f>
        <v>-1656.5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4" t="s">
        <v>71</v>
      </c>
      <c r="G18" s="4" t="s">
        <v>71</v>
      </c>
      <c r="H18" s="56" t="s">
        <v>71</v>
      </c>
      <c r="I18" s="33">
        <f>'Расчет дотаций'!J20-1</f>
        <v>0</v>
      </c>
      <c r="J18" s="33">
        <f>I18*'Расчет дотаций'!K20</f>
        <v>0</v>
      </c>
      <c r="K18" s="32">
        <f t="shared" si="1"/>
        <v>0</v>
      </c>
      <c r="L18" s="33">
        <f>'Расчет дотаций'!N20-1</f>
        <v>-0.41279069767441856</v>
      </c>
      <c r="M18" s="33">
        <f>L18*'Расчет дотаций'!O20</f>
        <v>-2.0639534883720927</v>
      </c>
      <c r="N18" s="32">
        <f t="shared" si="2"/>
        <v>-1656.5</v>
      </c>
      <c r="O18" s="31">
        <f t="shared" si="3"/>
        <v>-2.0639534883720927</v>
      </c>
    </row>
    <row r="19" spans="1:15" ht="15" customHeight="1">
      <c r="A19" s="17" t="s">
        <v>18</v>
      </c>
      <c r="B19" s="29">
        <f>'Расчет дотаций'!T21</f>
        <v>1528.7999999999956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4" t="s">
        <v>71</v>
      </c>
      <c r="G19" s="4" t="s">
        <v>71</v>
      </c>
      <c r="H19" s="56" t="s">
        <v>71</v>
      </c>
      <c r="I19" s="33">
        <f>'Расчет дотаций'!J21-1</f>
        <v>-5.0000000000000044E-3</v>
      </c>
      <c r="J19" s="33">
        <f>I19*'Расчет дотаций'!K21</f>
        <v>-7.5000000000000067E-2</v>
      </c>
      <c r="K19" s="32">
        <f t="shared" si="1"/>
        <v>-112.27580390622023</v>
      </c>
      <c r="L19" s="33">
        <f>'Расчет дотаций'!N21-1</f>
        <v>0.21924703455389372</v>
      </c>
      <c r="M19" s="33">
        <f>L19*'Расчет дотаций'!O21</f>
        <v>1.0962351727694686</v>
      </c>
      <c r="N19" s="32">
        <f t="shared" si="2"/>
        <v>1641.0758039062162</v>
      </c>
      <c r="O19" s="31">
        <f t="shared" si="3"/>
        <v>1.0212351727694684</v>
      </c>
    </row>
    <row r="20" spans="1:15" ht="15" customHeight="1">
      <c r="A20" s="17" t="s">
        <v>19</v>
      </c>
      <c r="B20" s="29">
        <f>'Расчет дотаций'!T22</f>
        <v>-2409.7000000000007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4" t="s">
        <v>71</v>
      </c>
      <c r="G20" s="4" t="s">
        <v>71</v>
      </c>
      <c r="H20" s="56" t="s">
        <v>71</v>
      </c>
      <c r="I20" s="33">
        <f>'Расчет дотаций'!J22-1</f>
        <v>-4.0000000000000036E-2</v>
      </c>
      <c r="J20" s="33">
        <f>I20*'Расчет дотаций'!K22</f>
        <v>-0.60000000000000053</v>
      </c>
      <c r="K20" s="32">
        <f t="shared" si="1"/>
        <v>-596.14945160846275</v>
      </c>
      <c r="L20" s="33">
        <f>'Расчет дотаций'!N22-1</f>
        <v>-0.36505286588759045</v>
      </c>
      <c r="M20" s="33">
        <f>L20*'Расчет дотаций'!O22</f>
        <v>-1.8252643294379522</v>
      </c>
      <c r="N20" s="32">
        <f t="shared" si="2"/>
        <v>-1813.5505483915381</v>
      </c>
      <c r="O20" s="31">
        <f t="shared" si="3"/>
        <v>-2.4252643294379528</v>
      </c>
    </row>
    <row r="21" spans="1:15" ht="15" customHeight="1">
      <c r="A21" s="17" t="s">
        <v>20</v>
      </c>
      <c r="B21" s="29">
        <f>'Расчет дотаций'!T23</f>
        <v>1556.3000000000029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4" t="s">
        <v>71</v>
      </c>
      <c r="G21" s="4" t="s">
        <v>71</v>
      </c>
      <c r="H21" s="56" t="s">
        <v>71</v>
      </c>
      <c r="I21" s="33">
        <f>'Расчет дотаций'!J23-1</f>
        <v>-5.9999999999998943E-3</v>
      </c>
      <c r="J21" s="33">
        <f>I21*'Расчет дотаций'!K23</f>
        <v>-8.9999999999998415E-2</v>
      </c>
      <c r="K21" s="32">
        <f t="shared" si="1"/>
        <v>-99.338297872338728</v>
      </c>
      <c r="L21" s="33">
        <f>'Расчет дотаций'!N23-1</f>
        <v>0.30000000000000004</v>
      </c>
      <c r="M21" s="33">
        <f>L21*'Расчет дотаций'!O23</f>
        <v>1.5000000000000002</v>
      </c>
      <c r="N21" s="32">
        <f t="shared" si="2"/>
        <v>1655.6382978723416</v>
      </c>
      <c r="O21" s="31">
        <f t="shared" si="3"/>
        <v>1.4100000000000019</v>
      </c>
    </row>
    <row r="22" spans="1:15" ht="15" customHeight="1">
      <c r="A22" s="17" t="s">
        <v>21</v>
      </c>
      <c r="B22" s="29">
        <f>'Расчет дотаций'!T24</f>
        <v>62.299999999999272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4" t="s">
        <v>71</v>
      </c>
      <c r="G22" s="4" t="s">
        <v>71</v>
      </c>
      <c r="H22" s="56" t="s">
        <v>71</v>
      </c>
      <c r="I22" s="33">
        <f>'Расчет дотаций'!J24-1</f>
        <v>-6.9999999999999951E-2</v>
      </c>
      <c r="J22" s="33">
        <f>I22*'Расчет дотаций'!K24</f>
        <v>-1.0499999999999994</v>
      </c>
      <c r="K22" s="32">
        <f t="shared" si="1"/>
        <v>-1140.1096944151598</v>
      </c>
      <c r="L22" s="33">
        <f>'Расчет дотаций'!N24-1</f>
        <v>0.22147521160822237</v>
      </c>
      <c r="M22" s="33">
        <f>L22*'Расчет дотаций'!O24</f>
        <v>1.1073760580411118</v>
      </c>
      <c r="N22" s="32">
        <f t="shared" si="2"/>
        <v>1202.4096944151593</v>
      </c>
      <c r="O22" s="31">
        <f t="shared" si="3"/>
        <v>5.7376058041112454E-2</v>
      </c>
    </row>
    <row r="23" spans="1:15" ht="15" customHeight="1">
      <c r="A23" s="17" t="s">
        <v>22</v>
      </c>
      <c r="B23" s="29">
        <f>'Расчет дотаций'!T25</f>
        <v>1216.7000000000044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4" t="s">
        <v>71</v>
      </c>
      <c r="G23" s="4" t="s">
        <v>71</v>
      </c>
      <c r="H23" s="56" t="s">
        <v>71</v>
      </c>
      <c r="I23" s="33">
        <f>'Расчет дотаций'!J25-1</f>
        <v>-2.0000000000000018E-2</v>
      </c>
      <c r="J23" s="33">
        <f>I23*'Расчет дотаций'!K25</f>
        <v>-0.30000000000000027</v>
      </c>
      <c r="K23" s="32">
        <f t="shared" si="1"/>
        <v>-433.06407416378772</v>
      </c>
      <c r="L23" s="33">
        <f>'Расчет дотаций'!N25-1</f>
        <v>0.22857089829250188</v>
      </c>
      <c r="M23" s="33">
        <f>L23*'Расчет дотаций'!O25</f>
        <v>1.1428544914625094</v>
      </c>
      <c r="N23" s="32">
        <f t="shared" si="2"/>
        <v>1649.7640741637922</v>
      </c>
      <c r="O23" s="31">
        <f t="shared" si="3"/>
        <v>0.84285449146250913</v>
      </c>
    </row>
    <row r="24" spans="1:15" ht="15" customHeight="1">
      <c r="A24" s="17" t="s">
        <v>23</v>
      </c>
      <c r="B24" s="29">
        <f>'Расчет дотаций'!T26</f>
        <v>-998.30000000000291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4" t="s">
        <v>71</v>
      </c>
      <c r="G24" s="4" t="s">
        <v>71</v>
      </c>
      <c r="H24" s="56" t="s">
        <v>71</v>
      </c>
      <c r="I24" s="33">
        <f>'Расчет дотаций'!J26-1</f>
        <v>-7.4999999999999956E-2</v>
      </c>
      <c r="J24" s="33">
        <f>I24*'Расчет дотаций'!K26</f>
        <v>-1.1249999999999993</v>
      </c>
      <c r="K24" s="32">
        <f t="shared" si="1"/>
        <v>-2613.691260302026</v>
      </c>
      <c r="L24" s="33">
        <f>'Расчет дотаций'!N26-1</f>
        <v>0.13906119635796421</v>
      </c>
      <c r="M24" s="33">
        <f>L24*'Расчет дотаций'!O26</f>
        <v>0.69530598178982106</v>
      </c>
      <c r="N24" s="32">
        <f t="shared" si="2"/>
        <v>1615.3912603020233</v>
      </c>
      <c r="O24" s="31">
        <f t="shared" si="3"/>
        <v>-0.42969401821017827</v>
      </c>
    </row>
    <row r="25" spans="1:15" ht="15" customHeight="1">
      <c r="A25" s="17" t="s">
        <v>24</v>
      </c>
      <c r="B25" s="29">
        <f>'Расчет дотаций'!T27</f>
        <v>463.29999999999927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4" t="s">
        <v>71</v>
      </c>
      <c r="G25" s="4" t="s">
        <v>71</v>
      </c>
      <c r="H25" s="56" t="s">
        <v>71</v>
      </c>
      <c r="I25" s="33">
        <f>'Расчет дотаций'!J27-1</f>
        <v>-2.0000000000000018E-2</v>
      </c>
      <c r="J25" s="33">
        <f>I25*'Расчет дотаций'!K27</f>
        <v>-0.30000000000000027</v>
      </c>
      <c r="K25" s="32">
        <f t="shared" si="1"/>
        <v>-180.36777574011006</v>
      </c>
      <c r="L25" s="33">
        <f>'Расчет дотаций'!N27-1</f>
        <v>0.2141184387617765</v>
      </c>
      <c r="M25" s="33">
        <f>L25*'Расчет дотаций'!O27</f>
        <v>1.0705921938088825</v>
      </c>
      <c r="N25" s="32">
        <f t="shared" si="2"/>
        <v>643.66777574010939</v>
      </c>
      <c r="O25" s="31">
        <f t="shared" si="3"/>
        <v>0.77059219380888222</v>
      </c>
    </row>
    <row r="26" spans="1:15" ht="15" customHeight="1">
      <c r="A26" s="17" t="s">
        <v>25</v>
      </c>
      <c r="B26" s="29">
        <f>'Расчет дотаций'!T28</f>
        <v>-527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4" t="s">
        <v>71</v>
      </c>
      <c r="G26" s="4" t="s">
        <v>71</v>
      </c>
      <c r="H26" s="56" t="s">
        <v>71</v>
      </c>
      <c r="I26" s="33">
        <f>'Расчет дотаций'!J28-1</f>
        <v>0</v>
      </c>
      <c r="J26" s="33">
        <f>I26*'Расчет дотаций'!K28</f>
        <v>0</v>
      </c>
      <c r="K26" s="32">
        <f t="shared" si="1"/>
        <v>0</v>
      </c>
      <c r="L26" s="33">
        <f>'Расчет дотаций'!N28-1</f>
        <v>-9.3872741555380945E-2</v>
      </c>
      <c r="M26" s="33">
        <f>L26*'Расчет дотаций'!O28</f>
        <v>-0.46936370777690473</v>
      </c>
      <c r="N26" s="32">
        <f t="shared" si="2"/>
        <v>-527</v>
      </c>
      <c r="O26" s="31">
        <f t="shared" si="3"/>
        <v>-0.46936370777690473</v>
      </c>
    </row>
    <row r="27" spans="1:15" ht="15" customHeight="1">
      <c r="A27" s="17" t="s">
        <v>26</v>
      </c>
      <c r="B27" s="29">
        <f>'Расчет дотаций'!T29</f>
        <v>-1908.2999999999993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4" t="s">
        <v>71</v>
      </c>
      <c r="G27" s="4" t="s">
        <v>71</v>
      </c>
      <c r="H27" s="56" t="s">
        <v>71</v>
      </c>
      <c r="I27" s="33">
        <f>'Расчет дотаций'!J29-1</f>
        <v>-8.4999999999999964E-2</v>
      </c>
      <c r="J27" s="33">
        <f>I27*'Расчет дотаций'!K29</f>
        <v>-1.2749999999999995</v>
      </c>
      <c r="K27" s="32">
        <f t="shared" si="1"/>
        <v>-986.42807687244897</v>
      </c>
      <c r="L27" s="33">
        <f>'Расчет дотаций'!N29-1</f>
        <v>-0.23831168831168836</v>
      </c>
      <c r="M27" s="33">
        <f>L27*'Расчет дотаций'!O29</f>
        <v>-1.1915584415584419</v>
      </c>
      <c r="N27" s="32">
        <f t="shared" si="2"/>
        <v>-921.8719231275503</v>
      </c>
      <c r="O27" s="31">
        <f t="shared" si="3"/>
        <v>-2.4665584415584414</v>
      </c>
    </row>
    <row r="28" spans="1:15" ht="15" customHeight="1">
      <c r="A28" s="17" t="s">
        <v>27</v>
      </c>
      <c r="B28" s="29">
        <f>'Расчет дотаций'!T30</f>
        <v>990.20000000000073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4" t="s">
        <v>71</v>
      </c>
      <c r="G28" s="4" t="s">
        <v>71</v>
      </c>
      <c r="H28" s="56" t="s">
        <v>71</v>
      </c>
      <c r="I28" s="33">
        <f>'Расчет дотаций'!J30-1</f>
        <v>0</v>
      </c>
      <c r="J28" s="33">
        <f>I28*'Расчет дотаций'!K30</f>
        <v>0</v>
      </c>
      <c r="K28" s="32">
        <f t="shared" si="1"/>
        <v>0</v>
      </c>
      <c r="L28" s="33">
        <f>'Расчет дотаций'!N30-1</f>
        <v>0.22914415619149509</v>
      </c>
      <c r="M28" s="33">
        <f>L28*'Расчет дотаций'!O30</f>
        <v>1.1457207809574754</v>
      </c>
      <c r="N28" s="32">
        <f t="shared" si="2"/>
        <v>990.20000000000073</v>
      </c>
      <c r="O28" s="31">
        <f t="shared" si="3"/>
        <v>1.1457207809574754</v>
      </c>
    </row>
    <row r="29" spans="1:15" ht="15" customHeight="1">
      <c r="A29" s="17" t="s">
        <v>28</v>
      </c>
      <c r="B29" s="29">
        <f>'Расчет дотаций'!T31</f>
        <v>-657.29999999999563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4" t="s">
        <v>71</v>
      </c>
      <c r="G29" s="4" t="s">
        <v>71</v>
      </c>
      <c r="H29" s="56" t="s">
        <v>71</v>
      </c>
      <c r="I29" s="33">
        <f>'Расчет дотаций'!J31-1</f>
        <v>-1.0000000000000009E-2</v>
      </c>
      <c r="J29" s="33">
        <f>I29*'Расчет дотаций'!K31</f>
        <v>-0.15000000000000013</v>
      </c>
      <c r="K29" s="32">
        <f t="shared" si="1"/>
        <v>-290.68059781731978</v>
      </c>
      <c r="L29" s="33">
        <f>'Расчет дотаций'!N31-1</f>
        <v>-3.7837345003646994E-2</v>
      </c>
      <c r="M29" s="33">
        <f>L29*'Расчет дотаций'!O31</f>
        <v>-0.18918672501823497</v>
      </c>
      <c r="N29" s="32">
        <f t="shared" si="2"/>
        <v>-366.61940218267586</v>
      </c>
      <c r="O29" s="31">
        <f t="shared" si="3"/>
        <v>-0.3391867250182351</v>
      </c>
    </row>
    <row r="30" spans="1:15" ht="15" customHeight="1">
      <c r="A30" s="17" t="s">
        <v>29</v>
      </c>
      <c r="B30" s="29">
        <f>'Расчет дотаций'!T32</f>
        <v>-1500.7000000000007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4" t="s">
        <v>71</v>
      </c>
      <c r="G30" s="4" t="s">
        <v>71</v>
      </c>
      <c r="H30" s="56" t="s">
        <v>71</v>
      </c>
      <c r="I30" s="33">
        <f>'Расчет дотаций'!J32-1</f>
        <v>-1.0000000000000009E-2</v>
      </c>
      <c r="J30" s="33">
        <f>I30*'Расчет дотаций'!K32</f>
        <v>-0.15000000000000013</v>
      </c>
      <c r="K30" s="32">
        <f t="shared" si="1"/>
        <v>-132.41470588235308</v>
      </c>
      <c r="L30" s="33">
        <f>'Расчет дотаций'!N32-1</f>
        <v>-0.31000000000000005</v>
      </c>
      <c r="M30" s="33">
        <f>L30*'Расчет дотаций'!O32</f>
        <v>-1.5500000000000003</v>
      </c>
      <c r="N30" s="32">
        <f t="shared" si="2"/>
        <v>-1368.2852941176475</v>
      </c>
      <c r="O30" s="31">
        <f t="shared" si="3"/>
        <v>-1.7000000000000004</v>
      </c>
    </row>
    <row r="31" spans="1:15" ht="15" customHeight="1">
      <c r="A31" s="17" t="s">
        <v>30</v>
      </c>
      <c r="B31" s="29">
        <f>'Расчет дотаций'!T33</f>
        <v>655.80000000000291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4" t="s">
        <v>71</v>
      </c>
      <c r="G31" s="4" t="s">
        <v>71</v>
      </c>
      <c r="H31" s="56" t="s">
        <v>71</v>
      </c>
      <c r="I31" s="33">
        <f>'Расчет дотаций'!J33-1</f>
        <v>-3.5000000000000031E-2</v>
      </c>
      <c r="J31" s="33">
        <f>I31*'Расчет дотаций'!K33</f>
        <v>-0.52500000000000047</v>
      </c>
      <c r="K31" s="32">
        <f t="shared" si="1"/>
        <v>-672.83376623377103</v>
      </c>
      <c r="L31" s="33">
        <f>'Расчет дотаций'!N33-1</f>
        <v>0.20734177215189864</v>
      </c>
      <c r="M31" s="33">
        <f>L31*'Расчет дотаций'!O33</f>
        <v>1.0367088607594932</v>
      </c>
      <c r="N31" s="32">
        <f t="shared" si="2"/>
        <v>1328.6337662337739</v>
      </c>
      <c r="O31" s="31">
        <f t="shared" si="3"/>
        <v>0.51170886075949273</v>
      </c>
    </row>
    <row r="32" spans="1:15" ht="15" customHeight="1">
      <c r="A32" s="17" t="s">
        <v>31</v>
      </c>
      <c r="B32" s="29">
        <f>'Расчет дотаций'!T34</f>
        <v>1610.4000000000015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4" t="s">
        <v>71</v>
      </c>
      <c r="G32" s="4" t="s">
        <v>71</v>
      </c>
      <c r="H32" s="56" t="s">
        <v>71</v>
      </c>
      <c r="I32" s="33">
        <f>'Расчет дотаций'!J34-1</f>
        <v>-5.0000000000000044E-3</v>
      </c>
      <c r="J32" s="33">
        <f>I32*'Расчет дотаций'!K34</f>
        <v>-7.5000000000000067E-2</v>
      </c>
      <c r="K32" s="32">
        <f t="shared" si="1"/>
        <v>-88.735060153273324</v>
      </c>
      <c r="L32" s="33">
        <f>'Расчет дотаций'!N34-1</f>
        <v>0.28722610722610709</v>
      </c>
      <c r="M32" s="33">
        <f>L32*'Расчет дотаций'!O34</f>
        <v>1.4361305361305354</v>
      </c>
      <c r="N32" s="32">
        <f t="shared" si="2"/>
        <v>1699.1350601532749</v>
      </c>
      <c r="O32" s="31">
        <f t="shared" si="3"/>
        <v>1.3611305361305353</v>
      </c>
    </row>
    <row r="33" spans="1:16" ht="15" customHeight="1">
      <c r="A33" s="17" t="s">
        <v>1</v>
      </c>
      <c r="B33" s="29">
        <f>'Расчет дотаций'!T35</f>
        <v>1599.2000000000044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4" t="s">
        <v>71</v>
      </c>
      <c r="G33" s="4" t="s">
        <v>71</v>
      </c>
      <c r="H33" s="56" t="s">
        <v>71</v>
      </c>
      <c r="I33" s="33">
        <f>'Расчет дотаций'!J35-1</f>
        <v>-2.5000000000000022E-2</v>
      </c>
      <c r="J33" s="33">
        <f>I33*'Расчет дотаций'!K35</f>
        <v>-0.37500000000000033</v>
      </c>
      <c r="K33" s="32">
        <f t="shared" si="1"/>
        <v>-590.94679854904462</v>
      </c>
      <c r="L33" s="33">
        <f>'Расчет дотаций'!N35-1</f>
        <v>0.27796243298802858</v>
      </c>
      <c r="M33" s="33">
        <f>L33*'Расчет дотаций'!O35</f>
        <v>1.3898121649401429</v>
      </c>
      <c r="N33" s="32">
        <f t="shared" si="2"/>
        <v>2190.146798549049</v>
      </c>
      <c r="O33" s="31">
        <f t="shared" si="3"/>
        <v>1.0148121649401425</v>
      </c>
    </row>
    <row r="34" spans="1:16" ht="15" customHeight="1">
      <c r="A34" s="17" t="s">
        <v>32</v>
      </c>
      <c r="B34" s="29">
        <f>'Расчет дотаций'!T36</f>
        <v>1215.9000000000015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4" t="s">
        <v>71</v>
      </c>
      <c r="G34" s="4" t="s">
        <v>71</v>
      </c>
      <c r="H34" s="56" t="s">
        <v>71</v>
      </c>
      <c r="I34" s="33">
        <f>'Расчет дотаций'!J36-1</f>
        <v>0</v>
      </c>
      <c r="J34" s="33">
        <f>I34*'Расчет дотаций'!K36</f>
        <v>0</v>
      </c>
      <c r="K34" s="32">
        <f t="shared" si="1"/>
        <v>0</v>
      </c>
      <c r="L34" s="33">
        <f>'Расчет дотаций'!N36-1</f>
        <v>0.17706333973128596</v>
      </c>
      <c r="M34" s="33">
        <f>L34*'Расчет дотаций'!O36</f>
        <v>0.88531669865642981</v>
      </c>
      <c r="N34" s="32">
        <f t="shared" si="2"/>
        <v>1215.9000000000015</v>
      </c>
      <c r="O34" s="31">
        <f t="shared" si="3"/>
        <v>0.88531669865642981</v>
      </c>
    </row>
    <row r="35" spans="1:16" ht="15" customHeight="1">
      <c r="A35" s="17" t="s">
        <v>33</v>
      </c>
      <c r="B35" s="29">
        <f>'Расчет дотаций'!T37</f>
        <v>223.39999999999782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4" t="s">
        <v>71</v>
      </c>
      <c r="G35" s="4" t="s">
        <v>71</v>
      </c>
      <c r="H35" s="56" t="s">
        <v>71</v>
      </c>
      <c r="I35" s="33">
        <f>'Расчет дотаций'!J37-1</f>
        <v>-5.0000000000000044E-2</v>
      </c>
      <c r="J35" s="33">
        <f>I35*'Расчет дотаций'!K37</f>
        <v>-0.75000000000000067</v>
      </c>
      <c r="K35" s="32">
        <f t="shared" si="1"/>
        <v>-572.46841882153149</v>
      </c>
      <c r="L35" s="33">
        <f>'Расчет дотаций'!N37-1</f>
        <v>0.2085359801488833</v>
      </c>
      <c r="M35" s="33">
        <f>L35*'Расчет дотаций'!O37</f>
        <v>1.0426799007444165</v>
      </c>
      <c r="N35" s="32">
        <f t="shared" si="2"/>
        <v>795.8684188215293</v>
      </c>
      <c r="O35" s="31">
        <f t="shared" si="3"/>
        <v>0.29267990074441586</v>
      </c>
    </row>
    <row r="36" spans="1:16" ht="15" customHeight="1">
      <c r="A36" s="17" t="s">
        <v>34</v>
      </c>
      <c r="B36" s="29">
        <f>'Расчет дотаций'!T38</f>
        <v>-5124.0999999999985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4" t="s">
        <v>71</v>
      </c>
      <c r="G36" s="4" t="s">
        <v>71</v>
      </c>
      <c r="H36" s="56" t="s">
        <v>71</v>
      </c>
      <c r="I36" s="33">
        <f>'Расчет дотаций'!J38-1</f>
        <v>-4.500000000000004E-2</v>
      </c>
      <c r="J36" s="33">
        <f>I36*'Расчет дотаций'!K38</f>
        <v>-0.6750000000000006</v>
      </c>
      <c r="K36" s="32">
        <f t="shared" si="1"/>
        <v>-1206.7265944310861</v>
      </c>
      <c r="L36" s="33">
        <f>'Расчет дотаций'!N38-1</f>
        <v>-0.43824791149243625</v>
      </c>
      <c r="M36" s="33">
        <f>L36*'Расчет дотаций'!O38</f>
        <v>-2.1912395574621812</v>
      </c>
      <c r="N36" s="32">
        <f t="shared" si="2"/>
        <v>-3917.3734055689124</v>
      </c>
      <c r="O36" s="31">
        <f t="shared" si="3"/>
        <v>-2.866239557462182</v>
      </c>
    </row>
    <row r="37" spans="1:16" ht="15" customHeight="1">
      <c r="A37" s="17" t="s">
        <v>35</v>
      </c>
      <c r="B37" s="29">
        <f>'Расчет дотаций'!T39</f>
        <v>-38.69999999999709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4" t="s">
        <v>71</v>
      </c>
      <c r="G37" s="4" t="s">
        <v>71</v>
      </c>
      <c r="H37" s="56" t="s">
        <v>71</v>
      </c>
      <c r="I37" s="33">
        <f>'Расчет дотаций'!J39-1</f>
        <v>0</v>
      </c>
      <c r="J37" s="33">
        <f>I37*'Расчет дотаций'!K39</f>
        <v>0</v>
      </c>
      <c r="K37" s="32">
        <f t="shared" si="1"/>
        <v>0</v>
      </c>
      <c r="L37" s="33">
        <f>'Расчет дотаций'!N39-1</f>
        <v>-5.5058499655884496E-3</v>
      </c>
      <c r="M37" s="33">
        <f>L37*'Расчет дотаций'!O39</f>
        <v>-2.7529249827942248E-2</v>
      </c>
      <c r="N37" s="32">
        <f t="shared" si="2"/>
        <v>-38.69999999999709</v>
      </c>
      <c r="O37" s="31">
        <f t="shared" si="3"/>
        <v>-2.7529249827942248E-2</v>
      </c>
    </row>
    <row r="38" spans="1:16" ht="15" customHeight="1">
      <c r="A38" s="17" t="s">
        <v>36</v>
      </c>
      <c r="B38" s="29">
        <f>'Расчет дотаций'!T40</f>
        <v>1252.9000000000015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4" t="s">
        <v>71</v>
      </c>
      <c r="G38" s="4" t="s">
        <v>71</v>
      </c>
      <c r="H38" s="56" t="s">
        <v>71</v>
      </c>
      <c r="I38" s="33">
        <f>'Расчет дотаций'!J40-1</f>
        <v>-1.5000000000000013E-2</v>
      </c>
      <c r="J38" s="33">
        <f>I38*'Расчет дотаций'!K40</f>
        <v>-0.2250000000000002</v>
      </c>
      <c r="K38" s="32">
        <f t="shared" si="1"/>
        <v>-339.20280146163287</v>
      </c>
      <c r="L38" s="33">
        <f>'Расчет дотаций'!N40-1</f>
        <v>0.21121472392638041</v>
      </c>
      <c r="M38" s="33">
        <f>L38*'Расчет дотаций'!O40</f>
        <v>1.056073619631902</v>
      </c>
      <c r="N38" s="32">
        <f t="shared" si="2"/>
        <v>1592.1028014616343</v>
      </c>
      <c r="O38" s="31">
        <f t="shared" si="3"/>
        <v>0.83107361963190185</v>
      </c>
    </row>
    <row r="39" spans="1:16" ht="15" customHeight="1">
      <c r="A39" s="17" t="s">
        <v>37</v>
      </c>
      <c r="B39" s="29">
        <f>'Расчет дотаций'!T41</f>
        <v>-185.69999999999709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4" t="s">
        <v>71</v>
      </c>
      <c r="G39" s="4" t="s">
        <v>71</v>
      </c>
      <c r="H39" s="56" t="s">
        <v>71</v>
      </c>
      <c r="I39" s="33">
        <f>'Расчет дотаций'!J41-1</f>
        <v>-9.9999999999999978E-2</v>
      </c>
      <c r="J39" s="33">
        <f>I39*'Расчет дотаций'!K41</f>
        <v>-1.4999999999999996</v>
      </c>
      <c r="K39" s="32">
        <f t="shared" si="1"/>
        <v>-3286.2898316413971</v>
      </c>
      <c r="L39" s="33">
        <f>'Расчет дотаций'!N41-1</f>
        <v>0.28304775206872912</v>
      </c>
      <c r="M39" s="33">
        <f>L39*'Расчет дотаций'!O41</f>
        <v>1.4152387603436456</v>
      </c>
      <c r="N39" s="32">
        <f t="shared" si="2"/>
        <v>3100.5898316414</v>
      </c>
      <c r="O39" s="31">
        <f t="shared" si="3"/>
        <v>-8.4761239656353959E-2</v>
      </c>
    </row>
    <row r="40" spans="1:16" ht="15" customHeight="1">
      <c r="A40" s="17" t="s">
        <v>38</v>
      </c>
      <c r="B40" s="29">
        <f>'Расчет дотаций'!T42</f>
        <v>1126.4000000000015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4" t="s">
        <v>71</v>
      </c>
      <c r="G40" s="4" t="s">
        <v>71</v>
      </c>
      <c r="H40" s="56" t="s">
        <v>71</v>
      </c>
      <c r="I40" s="33">
        <f>'Расчет дотаций'!J42-1</f>
        <v>-1.5000000000000013E-2</v>
      </c>
      <c r="J40" s="33">
        <f>I40*'Расчет дотаций'!K42</f>
        <v>-0.2250000000000002</v>
      </c>
      <c r="K40" s="32">
        <f t="shared" si="1"/>
        <v>-267.17451571244135</v>
      </c>
      <c r="L40" s="33">
        <f>'Расчет дотаций'!N42-1</f>
        <v>0.23471869328493655</v>
      </c>
      <c r="M40" s="33">
        <f>L40*'Расчет дотаций'!O42</f>
        <v>1.1735934664246828</v>
      </c>
      <c r="N40" s="32">
        <f t="shared" si="2"/>
        <v>1393.5745157124429</v>
      </c>
      <c r="O40" s="31">
        <f t="shared" si="3"/>
        <v>0.94859346642468256</v>
      </c>
    </row>
    <row r="41" spans="1:16" ht="15" customHeight="1">
      <c r="A41" s="17" t="s">
        <v>2</v>
      </c>
      <c r="B41" s="29">
        <f>'Расчет дотаций'!T43</f>
        <v>520.59999999999854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4" t="s">
        <v>71</v>
      </c>
      <c r="G41" s="4" t="s">
        <v>71</v>
      </c>
      <c r="H41" s="56" t="s">
        <v>71</v>
      </c>
      <c r="I41" s="33">
        <f>'Расчет дотаций'!J43-1</f>
        <v>-7.0000000000000062E-3</v>
      </c>
      <c r="J41" s="33">
        <f>I41*'Расчет дотаций'!K43</f>
        <v>-0.10500000000000009</v>
      </c>
      <c r="K41" s="32">
        <f t="shared" si="1"/>
        <v>-122.93616715846539</v>
      </c>
      <c r="L41" s="33">
        <f>'Расчет дотаций'!N43-1</f>
        <v>0.10992907801418439</v>
      </c>
      <c r="M41" s="33">
        <f>L41*'Расчет дотаций'!O43</f>
        <v>0.54964539007092195</v>
      </c>
      <c r="N41" s="32">
        <f t="shared" si="2"/>
        <v>643.53616715846397</v>
      </c>
      <c r="O41" s="31">
        <f t="shared" si="3"/>
        <v>0.44464539007092185</v>
      </c>
    </row>
    <row r="42" spans="1:16" ht="15" customHeight="1">
      <c r="A42" s="17" t="s">
        <v>39</v>
      </c>
      <c r="B42" s="29">
        <f>'Расчет дотаций'!T44</f>
        <v>993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4" t="s">
        <v>71</v>
      </c>
      <c r="G42" s="4" t="s">
        <v>71</v>
      </c>
      <c r="H42" s="56" t="s">
        <v>71</v>
      </c>
      <c r="I42" s="33">
        <f>'Расчет дотаций'!J44-1</f>
        <v>-2.0000000000000018E-2</v>
      </c>
      <c r="J42" s="33">
        <f>I42*'Расчет дотаций'!K44</f>
        <v>-0.30000000000000027</v>
      </c>
      <c r="K42" s="32">
        <f t="shared" si="1"/>
        <v>-289.33239038189561</v>
      </c>
      <c r="L42" s="33">
        <f>'Расчет дотаций'!N44-1</f>
        <v>0.26592233009708743</v>
      </c>
      <c r="M42" s="33">
        <f>L42*'Расчет дотаций'!O44</f>
        <v>1.3296116504854372</v>
      </c>
      <c r="N42" s="32">
        <f t="shared" si="2"/>
        <v>1282.3323903818955</v>
      </c>
      <c r="O42" s="31">
        <f t="shared" si="3"/>
        <v>1.0296116504854369</v>
      </c>
    </row>
    <row r="43" spans="1:16" ht="15" customHeight="1">
      <c r="A43" s="17" t="s">
        <v>3</v>
      </c>
      <c r="B43" s="29">
        <f>'Расчет дотаций'!T45</f>
        <v>255.59999999999854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4" t="s">
        <v>71</v>
      </c>
      <c r="G43" s="4" t="s">
        <v>71</v>
      </c>
      <c r="H43" s="56" t="s">
        <v>71</v>
      </c>
      <c r="I43" s="33">
        <f>'Расчет дотаций'!J45-1</f>
        <v>-2.5000000000000022E-2</v>
      </c>
      <c r="J43" s="33">
        <f>I43*'Расчет дотаций'!K45</f>
        <v>-0.37500000000000033</v>
      </c>
      <c r="K43" s="32">
        <f t="shared" si="1"/>
        <v>-366.61925802417528</v>
      </c>
      <c r="L43" s="33">
        <f>'Расчет дотаций'!N45-1</f>
        <v>0.12728857890148215</v>
      </c>
      <c r="M43" s="33">
        <f>L43*'Расчет дотаций'!O45</f>
        <v>0.63644289450741076</v>
      </c>
      <c r="N43" s="32">
        <f t="shared" si="2"/>
        <v>622.21925802417388</v>
      </c>
      <c r="O43" s="31">
        <f t="shared" si="3"/>
        <v>0.26144289450741043</v>
      </c>
    </row>
    <row r="44" spans="1:16" ht="15" customHeight="1">
      <c r="A44" s="17" t="s">
        <v>40</v>
      </c>
      <c r="B44" s="29">
        <f>'Расчет дотаций'!T46</f>
        <v>-2776.3000000000029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4" t="s">
        <v>71</v>
      </c>
      <c r="G44" s="4" t="s">
        <v>71</v>
      </c>
      <c r="H44" s="56" t="s">
        <v>71</v>
      </c>
      <c r="I44" s="33">
        <f>'Расчет дотаций'!J46-1</f>
        <v>-1.5000000000000013E-2</v>
      </c>
      <c r="J44" s="33">
        <f>I44*'Расчет дотаций'!K46</f>
        <v>-0.2250000000000002</v>
      </c>
      <c r="K44" s="32">
        <f t="shared" si="1"/>
        <v>-368.92791951036065</v>
      </c>
      <c r="L44" s="33">
        <f>'Расчет дотаций'!N46-1</f>
        <v>-0.2936393205637875</v>
      </c>
      <c r="M44" s="33">
        <f>L44*'Расчет дотаций'!O46</f>
        <v>-1.4681966028189375</v>
      </c>
      <c r="N44" s="32">
        <f t="shared" si="2"/>
        <v>-2407.372080489642</v>
      </c>
      <c r="O44" s="31">
        <f t="shared" si="3"/>
        <v>-1.6931966028189378</v>
      </c>
    </row>
    <row r="45" spans="1:16" s="27" customFormat="1" ht="15" customHeight="1">
      <c r="A45" s="26" t="s">
        <v>45</v>
      </c>
      <c r="B45" s="30">
        <f>B6+B17</f>
        <v>-183074.60000000003</v>
      </c>
      <c r="C45" s="30"/>
      <c r="D45" s="30"/>
      <c r="E45" s="30">
        <f>E6+E17</f>
        <v>0</v>
      </c>
      <c r="F45" s="30"/>
      <c r="G45" s="30"/>
      <c r="H45" s="30">
        <f>H6+H17</f>
        <v>0</v>
      </c>
      <c r="I45" s="30"/>
      <c r="J45" s="30"/>
      <c r="K45" s="30">
        <f>K6+K17</f>
        <v>-40095.171120526109</v>
      </c>
      <c r="L45" s="30"/>
      <c r="M45" s="30"/>
      <c r="N45" s="30">
        <f>N6+N17</f>
        <v>-142979.42887947394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2024-09-18T07:14:31Z</cp:lastPrinted>
  <dcterms:created xsi:type="dcterms:W3CDTF">2010-02-05T14:48:49Z</dcterms:created>
  <dcterms:modified xsi:type="dcterms:W3CDTF">2024-09-18T13:14:02Z</dcterms:modified>
</cp:coreProperties>
</file>