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дотаций'!$A$1:$AH$50</definedName>
  </definedNames>
  <calcPr calcId="125725"/>
</workbook>
</file>

<file path=xl/calcChain.xml><?xml version="1.0" encoding="utf-8"?>
<calcChain xmlns="http://schemas.openxmlformats.org/spreadsheetml/2006/main">
  <c r="AD46" i="7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0"/>
  <c r="AD11"/>
  <c r="AD12"/>
  <c r="AD13"/>
  <c r="AD14"/>
  <c r="AD15"/>
  <c r="AD16"/>
  <c r="AD17"/>
  <c r="AD18"/>
  <c r="AD9"/>
  <c r="V46" l="1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0"/>
  <c r="V11"/>
  <c r="V12"/>
  <c r="V13"/>
  <c r="V14"/>
  <c r="V15"/>
  <c r="V16"/>
  <c r="V17"/>
  <c r="V18"/>
  <c r="V9"/>
  <c r="T9" l="1"/>
  <c r="S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AC8"/>
  <c r="AC47" s="1"/>
  <c r="AC19"/>
  <c r="M30" i="8"/>
  <c r="M44"/>
  <c r="M43"/>
  <c r="M34"/>
  <c r="M33"/>
  <c r="M32"/>
  <c r="M31"/>
  <c r="M21"/>
  <c r="M20"/>
  <c r="M19"/>
  <c r="M18"/>
  <c r="M16"/>
  <c r="M7"/>
  <c r="J7"/>
  <c r="L44"/>
  <c r="L43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L33"/>
  <c r="L32"/>
  <c r="L31"/>
  <c r="L30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L20"/>
  <c r="L19"/>
  <c r="L18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L7"/>
  <c r="I7"/>
  <c r="P46" i="7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N19"/>
  <c r="N8"/>
  <c r="N47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M47"/>
  <c r="L47"/>
  <c r="M19"/>
  <c r="L19"/>
  <c r="M8"/>
  <c r="L8"/>
  <c r="S46" l="1"/>
  <c r="U19" l="1"/>
  <c r="U47" s="1"/>
  <c r="U8"/>
  <c r="AH34" l="1"/>
  <c r="AH22"/>
  <c r="AB47"/>
  <c r="AB19"/>
  <c r="AB8"/>
  <c r="S34"/>
  <c r="S22"/>
  <c r="S20"/>
  <c r="S10"/>
  <c r="S11"/>
  <c r="S12"/>
  <c r="S13"/>
  <c r="J11" i="8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18"/>
  <c r="J18" s="1"/>
  <c r="I8"/>
  <c r="J8" s="1"/>
  <c r="I9"/>
  <c r="J9" s="1"/>
  <c r="I10"/>
  <c r="J10" s="1"/>
  <c r="I11"/>
  <c r="I12"/>
  <c r="J12" s="1"/>
  <c r="I13"/>
  <c r="J13" s="1"/>
  <c r="I14"/>
  <c r="J14" s="1"/>
  <c r="I15"/>
  <c r="J15" s="1"/>
  <c r="I16"/>
  <c r="J16" s="1"/>
  <c r="T46" i="7"/>
  <c r="S21"/>
  <c r="S23"/>
  <c r="S24"/>
  <c r="S25"/>
  <c r="S26"/>
  <c r="S27"/>
  <c r="S28"/>
  <c r="S29"/>
  <c r="S30"/>
  <c r="S31"/>
  <c r="S32"/>
  <c r="S33"/>
  <c r="S35"/>
  <c r="S36"/>
  <c r="S37"/>
  <c r="S38"/>
  <c r="S39"/>
  <c r="S40"/>
  <c r="S41"/>
  <c r="S42"/>
  <c r="AH42" s="1"/>
  <c r="S43"/>
  <c r="S44"/>
  <c r="S45"/>
  <c r="S14"/>
  <c r="S15"/>
  <c r="S16"/>
  <c r="S17"/>
  <c r="S18"/>
  <c r="AH23" l="1"/>
  <c r="AH18"/>
  <c r="AH10"/>
  <c r="AH11"/>
  <c r="T23"/>
  <c r="T28"/>
  <c r="T40"/>
  <c r="AH39"/>
  <c r="T42"/>
  <c r="T45"/>
  <c r="AH46"/>
  <c r="T21"/>
  <c r="AH21"/>
  <c r="AH33"/>
  <c r="AH45"/>
  <c r="AH32"/>
  <c r="AH44"/>
  <c r="AH31"/>
  <c r="AH43"/>
  <c r="T35"/>
  <c r="AH41"/>
  <c r="T25"/>
  <c r="AH25"/>
  <c r="AH30"/>
  <c r="T33"/>
  <c r="AH28"/>
  <c r="AH40"/>
  <c r="T37"/>
  <c r="T38"/>
  <c r="AH38"/>
  <c r="T24"/>
  <c r="AH24"/>
  <c r="T39"/>
  <c r="T27"/>
  <c r="AH27"/>
  <c r="T30"/>
  <c r="T41"/>
  <c r="T36"/>
  <c r="AH36"/>
  <c r="T26"/>
  <c r="AH26"/>
  <c r="T29"/>
  <c r="T44"/>
  <c r="T31"/>
  <c r="T43"/>
  <c r="AH20"/>
  <c r="AH12"/>
  <c r="T14"/>
  <c r="AH14"/>
  <c r="AH13"/>
  <c r="AH15"/>
  <c r="T17"/>
  <c r="AH16"/>
  <c r="AH9"/>
  <c r="T34"/>
  <c r="T22"/>
  <c r="T20"/>
  <c r="T32"/>
  <c r="T10"/>
  <c r="T11"/>
  <c r="T13"/>
  <c r="T12"/>
  <c r="T15"/>
  <c r="T18"/>
  <c r="T16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AH29" l="1"/>
  <c r="AH35"/>
  <c r="AH37"/>
  <c r="AH17"/>
  <c r="V19"/>
  <c r="V8"/>
  <c r="AA19"/>
  <c r="AA8"/>
  <c r="C44" i="8"/>
  <c r="D44" s="1"/>
  <c r="O44" s="1"/>
  <c r="C43"/>
  <c r="D43" s="1"/>
  <c r="O43" s="1"/>
  <c r="C42"/>
  <c r="D42" s="1"/>
  <c r="O42" s="1"/>
  <c r="C41"/>
  <c r="D41" s="1"/>
  <c r="O41" s="1"/>
  <c r="C40"/>
  <c r="D40" s="1"/>
  <c r="O40" s="1"/>
  <c r="C39"/>
  <c r="D39" s="1"/>
  <c r="O39" s="1"/>
  <c r="C38"/>
  <c r="D38" s="1"/>
  <c r="O38" s="1"/>
  <c r="C37"/>
  <c r="D37" s="1"/>
  <c r="O37" s="1"/>
  <c r="C36"/>
  <c r="D36" s="1"/>
  <c r="O36" s="1"/>
  <c r="C35"/>
  <c r="D35" s="1"/>
  <c r="O35" s="1"/>
  <c r="C34"/>
  <c r="D34" s="1"/>
  <c r="O34" s="1"/>
  <c r="C33"/>
  <c r="D33" s="1"/>
  <c r="O33" s="1"/>
  <c r="C32"/>
  <c r="D32" s="1"/>
  <c r="O32" s="1"/>
  <c r="C31"/>
  <c r="D31" s="1"/>
  <c r="O31" s="1"/>
  <c r="C30"/>
  <c r="D30" s="1"/>
  <c r="O30" s="1"/>
  <c r="C29"/>
  <c r="D29" s="1"/>
  <c r="O29" s="1"/>
  <c r="C28"/>
  <c r="D28" s="1"/>
  <c r="O28" s="1"/>
  <c r="C27"/>
  <c r="D27" s="1"/>
  <c r="O27" s="1"/>
  <c r="C26"/>
  <c r="D26" s="1"/>
  <c r="O26" s="1"/>
  <c r="C25"/>
  <c r="D25" s="1"/>
  <c r="O25" s="1"/>
  <c r="C24"/>
  <c r="D24" s="1"/>
  <c r="O24" s="1"/>
  <c r="C23"/>
  <c r="D23" s="1"/>
  <c r="O23" s="1"/>
  <c r="C22"/>
  <c r="D22" s="1"/>
  <c r="O22" s="1"/>
  <c r="C21"/>
  <c r="D21" s="1"/>
  <c r="O21" s="1"/>
  <c r="C20"/>
  <c r="D20" s="1"/>
  <c r="O20" s="1"/>
  <c r="C19"/>
  <c r="D19" s="1"/>
  <c r="O19" s="1"/>
  <c r="C18"/>
  <c r="D18" s="1"/>
  <c r="O18" s="1"/>
  <c r="C8"/>
  <c r="D8" s="1"/>
  <c r="O8" s="1"/>
  <c r="C9"/>
  <c r="D9" s="1"/>
  <c r="O9" s="1"/>
  <c r="C10"/>
  <c r="D10" s="1"/>
  <c r="O10" s="1"/>
  <c r="C11"/>
  <c r="D11" s="1"/>
  <c r="O11" s="1"/>
  <c r="C12"/>
  <c r="D12" s="1"/>
  <c r="O12" s="1"/>
  <c r="C13"/>
  <c r="D13" s="1"/>
  <c r="O13" s="1"/>
  <c r="C14"/>
  <c r="D14" s="1"/>
  <c r="O14" s="1"/>
  <c r="C15"/>
  <c r="D15" s="1"/>
  <c r="O15" s="1"/>
  <c r="C16"/>
  <c r="D16" s="1"/>
  <c r="O16" s="1"/>
  <c r="C7"/>
  <c r="D7" s="1"/>
  <c r="O7" s="1"/>
  <c r="V47" i="7" l="1"/>
  <c r="AA47"/>
  <c r="Z19"/>
  <c r="Z8"/>
  <c r="Q26"/>
  <c r="Q9"/>
  <c r="B33" i="8" l="1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K39" i="8" l="1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D19" l="1"/>
  <c r="Q47"/>
  <c r="R19"/>
  <c r="R8"/>
  <c r="AE47"/>
  <c r="AF47"/>
  <c r="AG47"/>
  <c r="AD8" l="1"/>
  <c r="AD47" s="1"/>
  <c r="R47"/>
  <c r="S19" l="1"/>
  <c r="S8"/>
  <c r="AH19" l="1"/>
  <c r="S47"/>
  <c r="P47" s="1"/>
  <c r="AH8"/>
  <c r="T19"/>
  <c r="T8"/>
  <c r="AH47" l="1"/>
  <c r="T47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<sst xmlns="http://schemas.openxmlformats.org/spreadsheetml/2006/main" count="378" uniqueCount="102">
  <si>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</si>
  <si>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</si>
  <si>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</si>
  <si>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</si>
  <si>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</si>
  <si>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</si>
  <si>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</si>
  <si>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</si>
  <si>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</si>
  <si>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</si>
  <si>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</si>
  <si>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</si>
  <si>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</si>
  <si>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</si>
  <si>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</si>
  <si>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</si>
  <si>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</si>
  <si>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</si>
  <si>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</si>
  <si>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</si>
  <si>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</si>
  <si>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</si>
  <si>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</si>
  <si>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</si>
  <si>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</si>
  <si>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</si>
  <si>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</si>
  <si>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</si>
  <si>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</si>
  <si>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</si>
  <si>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</si>
  <si>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</si>
  <si>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</si>
  <si>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</si>
  <si>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</si>
  <si>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</si>
  <si>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</si>
  <si>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</si>
  <si>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</si>
  <si>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</si>
  <si>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</si>
  <si>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</si>
  <si>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</si>
  <si>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</si>
  <si>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</si>
  <si>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</si>
  <si>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</si>
  <si>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</si>
  <si>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</si>
  <si>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</si>
  <si>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</si>
  <si>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</si>
  <si>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</si>
  <si>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</si>
  <si>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</si>
  <si>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</si>
  <si>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</si>
  <si>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</si>
  <si>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</si>
  <si>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</si>
  <si>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</si>
  <si>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</si>
  <si>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</si>
  <si>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</si>
  <si>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</si>
  <si>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</si>
  <si>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</si>
  <si>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</si>
  <si>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</si>
  <si>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</si>
  <si>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</si>
  <si>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01.04.2024)</t>
    </r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</si>
  <si>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</si>
  <si>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</si>
  <si>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</si>
  <si>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</si>
  <si>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</si>
  <si>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</si>
  <si>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</si>
  <si>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</si>
  <si>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</si>
  <si>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</si>
  <si>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</si>
  <si>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</si>
  <si>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01.04.2024)</t>
    </r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</si>
  <si>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</si>
  <si>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</si>
  <si>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</si>
  <si>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</si>
  <si>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</si>
  <si>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29=22-(23+...+28)</t>
  </si>
  <si>
    <t>за 6 месяцев 2024 года</t>
  </si>
  <si>
    <t>Факторный анализ влияния отдельных показателей на итоговое распределение за 6 месяцев 2024 года</t>
  </si>
  <si>
    <t>за май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</si>
  <si>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01.07.2024)</t>
  </si>
  <si>
    <t>18=17/11мес.*6</t>
  </si>
  <si>
    <t>Удержание дотаций 
в 2024 году в связи с исполнением показателей 
за 2023 год 
(2/5 от суммы взысканя), 
тыс. рублей</t>
  </si>
  <si>
    <t>Распределение дотаций за июнь за вычетом ранее предоставленных дотаций, тыс. рублей</t>
  </si>
  <si>
    <t>Распределение дотаций за июнь с учетом выполнения условий предоставления дотаций</t>
  </si>
  <si>
    <t>непривлечение кредитов кредитных организаций в июне 2024 года</t>
  </si>
  <si>
    <t>МО, муниципальный долг которых на 01.07.2024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</si>
  <si>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июне 2024 года (не применяется если объем долга на 01.07.2024 не превышает его объем по состоянию на начало 2024 года)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</si>
</sst>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O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29" width="13.5703125" style="1" customWidth="1"/>
    <col min="30" max="30" width="15.140625" style="1" customWidth="1"/>
    <col min="31" max="31" width="18.42578125" style="1" customWidth="1"/>
    <col min="32" max="32" width="18.85546875" style="1" customWidth="1"/>
    <col min="33" max="33" width="21.140625" style="1" customWidth="1"/>
    <col min="34" max="34" width="14" style="1" customWidth="1"/>
    <col min="35" max="35" width="36.28515625" style="1" bestFit="1" customWidth="1"/>
    <col min="36" max="36" width="13.7109375" style="1" bestFit="1" customWidth="1"/>
    <col min="37" max="37" width="12.5703125" style="1" bestFit="1" customWidth="1"/>
    <col min="38" max="38" width="10.5703125" style="1" bestFit="1" customWidth="1"/>
    <col min="39" max="16384" width="9.140625" style="1"/>
  </cols>
  <sheetData>
    <row r="1" spans="1:41" ht="21.75" customHeight="1">
      <c r="B1" s="62" t="s">
        <v>53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41" ht="15.75">
      <c r="A2" s="35" t="s">
        <v>91</v>
      </c>
    </row>
    <row r="3" spans="1:41" ht="25.5" customHeight="1">
      <c r="A3" s="69" t="s">
        <v>15</v>
      </c>
      <c r="B3" s="73" t="s">
        <v>94</v>
      </c>
      <c r="C3" s="73"/>
      <c r="D3" s="66" t="s">
        <v>71</v>
      </c>
      <c r="E3" s="66"/>
      <c r="F3" s="66"/>
      <c r="G3" s="66"/>
      <c r="H3" s="66" t="s">
        <v>85</v>
      </c>
      <c r="I3" s="66"/>
      <c r="J3" s="66"/>
      <c r="K3" s="66"/>
      <c r="L3" s="66" t="s">
        <v>84</v>
      </c>
      <c r="M3" s="66"/>
      <c r="N3" s="66"/>
      <c r="O3" s="66"/>
      <c r="P3" s="72" t="s">
        <v>47</v>
      </c>
      <c r="Q3" s="71" t="s">
        <v>57</v>
      </c>
      <c r="R3" s="69" t="s">
        <v>58</v>
      </c>
      <c r="S3" s="69" t="s">
        <v>59</v>
      </c>
      <c r="T3" s="67" t="s">
        <v>60</v>
      </c>
      <c r="U3" s="67" t="s">
        <v>96</v>
      </c>
      <c r="V3" s="67" t="s">
        <v>88</v>
      </c>
      <c r="W3" s="74" t="s">
        <v>62</v>
      </c>
      <c r="X3" s="75"/>
      <c r="Y3" s="75"/>
      <c r="Z3" s="75"/>
      <c r="AA3" s="75"/>
      <c r="AB3" s="75"/>
      <c r="AC3" s="76"/>
      <c r="AD3" s="69" t="s">
        <v>97</v>
      </c>
      <c r="AE3" s="65" t="s">
        <v>56</v>
      </c>
      <c r="AF3" s="65"/>
      <c r="AG3" s="65"/>
      <c r="AH3" s="69" t="s">
        <v>98</v>
      </c>
    </row>
    <row r="4" spans="1:41" ht="42.75" customHeight="1">
      <c r="A4" s="69"/>
      <c r="B4" s="73"/>
      <c r="C4" s="73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2"/>
      <c r="Q4" s="71"/>
      <c r="R4" s="69"/>
      <c r="S4" s="69"/>
      <c r="T4" s="70"/>
      <c r="U4" s="70"/>
      <c r="V4" s="70"/>
      <c r="W4" s="77"/>
      <c r="X4" s="78"/>
      <c r="Y4" s="78"/>
      <c r="Z4" s="78"/>
      <c r="AA4" s="78"/>
      <c r="AB4" s="78"/>
      <c r="AC4" s="79"/>
      <c r="AD4" s="69"/>
      <c r="AE4" s="65" t="s">
        <v>99</v>
      </c>
      <c r="AF4" s="65"/>
      <c r="AG4" s="65" t="s">
        <v>101</v>
      </c>
      <c r="AH4" s="69"/>
    </row>
    <row r="5" spans="1:41" ht="87" customHeight="1">
      <c r="A5" s="69"/>
      <c r="B5" s="73"/>
      <c r="C5" s="73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2"/>
      <c r="Q5" s="71"/>
      <c r="R5" s="69"/>
      <c r="S5" s="69"/>
      <c r="T5" s="70"/>
      <c r="U5" s="70"/>
      <c r="V5" s="70"/>
      <c r="W5" s="69" t="s">
        <v>63</v>
      </c>
      <c r="X5" s="67" t="s">
        <v>64</v>
      </c>
      <c r="Y5" s="69" t="s">
        <v>65</v>
      </c>
      <c r="Z5" s="67" t="s">
        <v>76</v>
      </c>
      <c r="AA5" s="67" t="s">
        <v>86</v>
      </c>
      <c r="AB5" s="67" t="s">
        <v>87</v>
      </c>
      <c r="AC5" s="67" t="s">
        <v>93</v>
      </c>
      <c r="AD5" s="69"/>
      <c r="AE5" s="65" t="s">
        <v>61</v>
      </c>
      <c r="AF5" s="65" t="s">
        <v>100</v>
      </c>
      <c r="AG5" s="65"/>
      <c r="AH5" s="69"/>
    </row>
    <row r="6" spans="1:41" ht="52.5" customHeight="1">
      <c r="A6" s="69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72"/>
      <c r="Q6" s="71"/>
      <c r="R6" s="69"/>
      <c r="S6" s="69"/>
      <c r="T6" s="68"/>
      <c r="U6" s="68"/>
      <c r="V6" s="68"/>
      <c r="W6" s="69"/>
      <c r="X6" s="68"/>
      <c r="Y6" s="69"/>
      <c r="Z6" s="68"/>
      <c r="AA6" s="68"/>
      <c r="AB6" s="68"/>
      <c r="AC6" s="68"/>
      <c r="AD6" s="69"/>
      <c r="AE6" s="65"/>
      <c r="AF6" s="65"/>
      <c r="AG6" s="65"/>
      <c r="AH6" s="69"/>
    </row>
    <row r="7" spans="1:4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73</v>
      </c>
      <c r="O7" s="13">
        <v>15</v>
      </c>
      <c r="P7" s="13">
        <v>16</v>
      </c>
      <c r="Q7" s="13">
        <v>17</v>
      </c>
      <c r="R7" s="49" t="s">
        <v>95</v>
      </c>
      <c r="S7" s="13" t="s">
        <v>74</v>
      </c>
      <c r="T7" s="13" t="s">
        <v>75</v>
      </c>
      <c r="U7" s="13">
        <v>21</v>
      </c>
      <c r="V7" s="13" t="s">
        <v>89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/>
      <c r="AD7" s="49" t="s">
        <v>90</v>
      </c>
      <c r="AE7" s="13">
        <v>30</v>
      </c>
      <c r="AF7" s="13">
        <v>31</v>
      </c>
      <c r="AG7" s="13">
        <v>32</v>
      </c>
      <c r="AH7" s="13">
        <v>33</v>
      </c>
      <c r="AI7" s="1"/>
      <c r="AJ7" s="1"/>
      <c r="AK7" s="1"/>
      <c r="AL7" s="1"/>
      <c r="AM7" s="1"/>
      <c r="AN7" s="1"/>
      <c r="AO7" s="1"/>
    </row>
    <row r="8" spans="1:41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392984</v>
      </c>
      <c r="M8" s="61">
        <f>SUM(M9:M18)</f>
        <v>314420</v>
      </c>
      <c r="N8" s="52">
        <f>IF(M8/L8&gt;1.2,IF((M8/L8-1.2)*0.1+1.2&gt;1.3,1.3,(M8/L8-1.2)*0.1+1.2),M8/L8)</f>
        <v>0.80008346395782015</v>
      </c>
      <c r="O8" s="9"/>
      <c r="P8" s="10"/>
      <c r="Q8" s="45">
        <f t="shared" ref="Q8:AD8" si="0">SUM(Q9:Q18)</f>
        <v>1909020</v>
      </c>
      <c r="R8" s="18">
        <f t="shared" si="0"/>
        <v>1041283.7999999999</v>
      </c>
      <c r="S8" s="18">
        <f t="shared" si="0"/>
        <v>937847</v>
      </c>
      <c r="T8" s="18">
        <f t="shared" si="0"/>
        <v>-103436.79999999996</v>
      </c>
      <c r="U8" s="18">
        <f t="shared" ref="U8:V8" si="1">SUM(U9:U18)</f>
        <v>26188.900000000005</v>
      </c>
      <c r="V8" s="18">
        <f t="shared" si="1"/>
        <v>911658.1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/>
      <c r="AF8" s="18"/>
      <c r="AG8" s="18"/>
      <c r="AH8" s="18">
        <f>SUM(AH9:AH18)</f>
        <v>120554.00000000001</v>
      </c>
      <c r="AI8" s="36"/>
      <c r="AJ8" s="36"/>
      <c r="AK8" s="36"/>
      <c r="AL8" s="36"/>
      <c r="AM8" s="36"/>
      <c r="AN8" s="36"/>
      <c r="AO8" s="36"/>
    </row>
    <row r="9" spans="1:41" s="2" customFormat="1" ht="16.5" customHeight="1">
      <c r="A9" s="5" t="s">
        <v>5</v>
      </c>
      <c r="B9" s="4">
        <v>1</v>
      </c>
      <c r="C9" s="4">
        <v>10</v>
      </c>
      <c r="D9" s="4" t="s">
        <v>72</v>
      </c>
      <c r="E9" s="4" t="s">
        <v>72</v>
      </c>
      <c r="F9" s="4" t="s">
        <v>72</v>
      </c>
      <c r="G9" s="4">
        <v>15</v>
      </c>
      <c r="H9" s="4">
        <v>180</v>
      </c>
      <c r="I9" s="4">
        <v>166.26</v>
      </c>
      <c r="J9" s="60">
        <f>IF(K9=0,0,IF(H9=0,1,IF(I9&lt;0,0,IF(I9/H9&gt;1.2,IF((I9/H9-1.2)*0.1+1.2&gt;1.3,1.3,(I9/H9-1.2)*0.1+1.2),I9/H9))))</f>
        <v>0.92366666666666664</v>
      </c>
      <c r="K9" s="4">
        <v>20</v>
      </c>
      <c r="L9" s="4">
        <v>294317</v>
      </c>
      <c r="M9" s="4">
        <v>240499</v>
      </c>
      <c r="N9" s="60">
        <f>IF(O9=0,0,IF(L9=0,1,IF(M9&lt;0,0,IF(M9/L9&gt;1.2,IF((M9/L9-1.2)*0.1+1.2&gt;1.3,1.3,(M9/L9-1.2)*0.1+1.2),M9/L9))))</f>
        <v>0.81714274065038717</v>
      </c>
      <c r="O9" s="4">
        <v>15</v>
      </c>
      <c r="P9" s="24">
        <f>(B9*C9+J9*K9+N9*O9)/(C9+K9+O9)</f>
        <v>0.90512165429086966</v>
      </c>
      <c r="Q9" s="48">
        <f>511476+4278</f>
        <v>515754</v>
      </c>
      <c r="R9" s="19">
        <f>ROUND(Q9/11*6,1)</f>
        <v>281320.40000000002</v>
      </c>
      <c r="S9" s="19">
        <f>ROUND(P9*R9,1)</f>
        <v>254629.2</v>
      </c>
      <c r="T9" s="19">
        <f>S9-R9</f>
        <v>-26691.200000000012</v>
      </c>
      <c r="U9" s="19">
        <v>5787.7</v>
      </c>
      <c r="V9" s="19">
        <f>S9-U9</f>
        <v>248841.5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f>ROUND(V9-SUM(W9:AC9),1)</f>
        <v>39544.5</v>
      </c>
      <c r="AE9" s="41"/>
      <c r="AF9" s="41"/>
      <c r="AG9" s="42"/>
      <c r="AH9" s="19">
        <f>IF(OR(AE9="+",AF9="+",AG9="+"),0,IF(AD9&lt;0,0,AD9))</f>
        <v>39544.5</v>
      </c>
      <c r="AI9" s="36"/>
      <c r="AJ9" s="36"/>
      <c r="AK9" s="36"/>
      <c r="AL9" s="36"/>
      <c r="AM9" s="36"/>
      <c r="AN9" s="36"/>
      <c r="AO9" s="1"/>
    </row>
    <row r="10" spans="1:41" s="2" customFormat="1" ht="17.100000000000001" customHeight="1">
      <c r="A10" s="5" t="s">
        <v>6</v>
      </c>
      <c r="B10" s="4">
        <v>1</v>
      </c>
      <c r="C10" s="4">
        <v>10</v>
      </c>
      <c r="D10" s="4" t="s">
        <v>72</v>
      </c>
      <c r="E10" s="4" t="s">
        <v>72</v>
      </c>
      <c r="F10" s="4" t="s">
        <v>72</v>
      </c>
      <c r="G10" s="4">
        <v>15</v>
      </c>
      <c r="H10" s="4">
        <v>195</v>
      </c>
      <c r="I10" s="4">
        <v>194.10000000000002</v>
      </c>
      <c r="J10" s="60">
        <f t="shared" ref="J10:J17" si="2">IF(K10=0,0,IF(H10=0,1,IF(I10&lt;0,0,IF(I10/H10&gt;1.2,IF((I10/H10-1.2)*0.1+1.2&gt;1.3,1.3,(I10/H10-1.2)*0.1+1.2),I10/H10))))</f>
        <v>0.99538461538461553</v>
      </c>
      <c r="K10" s="4">
        <v>20</v>
      </c>
      <c r="L10" s="4">
        <v>57899</v>
      </c>
      <c r="M10" s="4">
        <v>12494</v>
      </c>
      <c r="N10" s="60">
        <f t="shared" ref="N10:N45" si="3">IF(O10=0,0,IF(L10=0,1,IF(M10&lt;0,0,IF(M10/L10&gt;1.2,IF((M10/L10-1.2)*0.1+1.2&gt;1.3,1.3,(M10/L10-1.2)*0.1+1.2),M10/L10))))</f>
        <v>0.21578956458660772</v>
      </c>
      <c r="O10" s="4">
        <v>15</v>
      </c>
      <c r="P10" s="24">
        <f t="shared" ref="P10:P45" si="4">(B10*C10+J10*K10+N10*O10)/(C10+K10+O10)</f>
        <v>0.73654523947758732</v>
      </c>
      <c r="Q10" s="48">
        <v>615720</v>
      </c>
      <c r="R10" s="19">
        <f t="shared" ref="R10:R46" si="5">ROUND(Q10/11*6,1)</f>
        <v>335847.3</v>
      </c>
      <c r="S10" s="19">
        <f t="shared" ref="S10:S18" si="6">ROUND(P10*R10,1)</f>
        <v>247366.7</v>
      </c>
      <c r="T10" s="19">
        <f t="shared" ref="T10:T18" si="7">S10-R10</f>
        <v>-88480.599999999977</v>
      </c>
      <c r="U10" s="19">
        <v>11178.2</v>
      </c>
      <c r="V10" s="19">
        <f t="shared" ref="V10:V46" si="8">S10-U10</f>
        <v>236188.5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f t="shared" ref="AD10:AD46" si="9">ROUND(V10-SUM(W10:AC10),1)</f>
        <v>12979.2</v>
      </c>
      <c r="AE10" s="41"/>
      <c r="AF10" s="41"/>
      <c r="AG10" s="42"/>
      <c r="AH10" s="19">
        <f t="shared" ref="AH10:AH46" si="10">IF(OR(AE10="+",AF10="+",AG10="+"),0,IF(AD10&lt;0,0,AD10))</f>
        <v>12979.2</v>
      </c>
      <c r="AI10" s="36"/>
      <c r="AJ10" s="36"/>
      <c r="AK10" s="36"/>
      <c r="AL10" s="36"/>
      <c r="AM10" s="36"/>
      <c r="AN10" s="36"/>
      <c r="AO10" s="1"/>
    </row>
    <row r="11" spans="1:41" s="2" customFormat="1" ht="17.100000000000001" customHeight="1">
      <c r="A11" s="5" t="s">
        <v>7</v>
      </c>
      <c r="B11" s="4">
        <v>1</v>
      </c>
      <c r="C11" s="4">
        <v>10</v>
      </c>
      <c r="D11" s="4" t="s">
        <v>72</v>
      </c>
      <c r="E11" s="4" t="s">
        <v>72</v>
      </c>
      <c r="F11" s="4" t="s">
        <v>72</v>
      </c>
      <c r="G11" s="4">
        <v>15</v>
      </c>
      <c r="H11" s="4">
        <v>195</v>
      </c>
      <c r="I11" s="4">
        <v>190.07999999999998</v>
      </c>
      <c r="J11" s="60">
        <f t="shared" si="2"/>
        <v>0.97476923076923072</v>
      </c>
      <c r="K11" s="4">
        <v>20</v>
      </c>
      <c r="L11" s="4">
        <v>9547</v>
      </c>
      <c r="M11" s="4">
        <v>9997</v>
      </c>
      <c r="N11" s="60">
        <f t="shared" si="3"/>
        <v>1.0471352257253588</v>
      </c>
      <c r="O11" s="4">
        <v>15</v>
      </c>
      <c r="P11" s="24">
        <f t="shared" si="4"/>
        <v>1.0044980666947778</v>
      </c>
      <c r="Q11" s="48">
        <v>201240</v>
      </c>
      <c r="R11" s="19">
        <f t="shared" si="5"/>
        <v>109767.3</v>
      </c>
      <c r="S11" s="19">
        <f t="shared" si="6"/>
        <v>110261</v>
      </c>
      <c r="T11" s="19">
        <f t="shared" si="7"/>
        <v>493.69999999999709</v>
      </c>
      <c r="U11" s="19">
        <v>2770.9</v>
      </c>
      <c r="V11" s="19">
        <f t="shared" si="8"/>
        <v>107490.1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f t="shared" si="9"/>
        <v>16991.3</v>
      </c>
      <c r="AE11" s="41"/>
      <c r="AF11" s="41"/>
      <c r="AG11" s="42"/>
      <c r="AH11" s="19">
        <f t="shared" si="10"/>
        <v>16991.3</v>
      </c>
      <c r="AI11" s="36"/>
      <c r="AJ11" s="36"/>
      <c r="AK11" s="36"/>
      <c r="AL11" s="36"/>
      <c r="AM11" s="36"/>
      <c r="AN11" s="36"/>
      <c r="AO11" s="1"/>
    </row>
    <row r="12" spans="1:41" s="2" customFormat="1" ht="17.100000000000001" customHeight="1">
      <c r="A12" s="5" t="s">
        <v>8</v>
      </c>
      <c r="B12" s="4">
        <v>1</v>
      </c>
      <c r="C12" s="4">
        <v>10</v>
      </c>
      <c r="D12" s="4" t="s">
        <v>72</v>
      </c>
      <c r="E12" s="4" t="s">
        <v>72</v>
      </c>
      <c r="F12" s="4" t="s">
        <v>72</v>
      </c>
      <c r="G12" s="4">
        <v>15</v>
      </c>
      <c r="H12" s="4">
        <v>195</v>
      </c>
      <c r="I12" s="4">
        <v>191.73000000000002</v>
      </c>
      <c r="J12" s="60">
        <f t="shared" si="2"/>
        <v>0.98323076923076935</v>
      </c>
      <c r="K12" s="4">
        <v>20</v>
      </c>
      <c r="L12" s="4">
        <v>6399</v>
      </c>
      <c r="M12" s="4">
        <v>9228</v>
      </c>
      <c r="N12" s="60">
        <f t="shared" si="3"/>
        <v>1.2242100328176277</v>
      </c>
      <c r="O12" s="4">
        <v>15</v>
      </c>
      <c r="P12" s="24">
        <f t="shared" si="4"/>
        <v>1.0672836861528845</v>
      </c>
      <c r="Q12" s="48">
        <v>114191</v>
      </c>
      <c r="R12" s="19">
        <f t="shared" si="5"/>
        <v>62286</v>
      </c>
      <c r="S12" s="19">
        <f t="shared" si="6"/>
        <v>66476.800000000003</v>
      </c>
      <c r="T12" s="19">
        <f t="shared" si="7"/>
        <v>4190.8000000000029</v>
      </c>
      <c r="U12" s="19">
        <v>1821.5</v>
      </c>
      <c r="V12" s="19">
        <f t="shared" si="8"/>
        <v>64655.3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f t="shared" si="9"/>
        <v>10168.6</v>
      </c>
      <c r="AE12" s="41"/>
      <c r="AF12" s="41"/>
      <c r="AG12" s="42"/>
      <c r="AH12" s="19">
        <f t="shared" si="10"/>
        <v>10168.6</v>
      </c>
      <c r="AI12" s="36"/>
      <c r="AJ12" s="36"/>
      <c r="AK12" s="36"/>
      <c r="AL12" s="36"/>
      <c r="AM12" s="36"/>
      <c r="AN12" s="36"/>
      <c r="AO12" s="1"/>
    </row>
    <row r="13" spans="1:41" s="2" customFormat="1" ht="17.100000000000001" customHeight="1">
      <c r="A13" s="5" t="s">
        <v>9</v>
      </c>
      <c r="B13" s="4">
        <v>1</v>
      </c>
      <c r="C13" s="4">
        <v>10</v>
      </c>
      <c r="D13" s="4" t="s">
        <v>72</v>
      </c>
      <c r="E13" s="4" t="s">
        <v>72</v>
      </c>
      <c r="F13" s="4" t="s">
        <v>72</v>
      </c>
      <c r="G13" s="4">
        <v>15</v>
      </c>
      <c r="H13" s="4">
        <v>180</v>
      </c>
      <c r="I13" s="4">
        <v>167.09</v>
      </c>
      <c r="J13" s="60">
        <f t="shared" si="2"/>
        <v>0.92827777777777776</v>
      </c>
      <c r="K13" s="4">
        <v>20</v>
      </c>
      <c r="L13" s="4">
        <v>3182</v>
      </c>
      <c r="M13" s="4">
        <v>9847</v>
      </c>
      <c r="N13" s="60">
        <f t="shared" si="3"/>
        <v>1.3</v>
      </c>
      <c r="O13" s="4">
        <v>15</v>
      </c>
      <c r="P13" s="24">
        <f t="shared" si="4"/>
        <v>1.0681234567901234</v>
      </c>
      <c r="Q13" s="48">
        <v>94110</v>
      </c>
      <c r="R13" s="19">
        <f t="shared" si="5"/>
        <v>51332.7</v>
      </c>
      <c r="S13" s="19">
        <f t="shared" si="6"/>
        <v>54829.7</v>
      </c>
      <c r="T13" s="19">
        <f t="shared" si="7"/>
        <v>3497</v>
      </c>
      <c r="U13" s="19">
        <v>0</v>
      </c>
      <c r="V13" s="19">
        <f t="shared" si="8"/>
        <v>54829.7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f t="shared" si="9"/>
        <v>9138.2999999999993</v>
      </c>
      <c r="AE13" s="41"/>
      <c r="AF13" s="41"/>
      <c r="AG13" s="42"/>
      <c r="AH13" s="19">
        <f t="shared" si="10"/>
        <v>9138.2999999999993</v>
      </c>
      <c r="AI13" s="36"/>
      <c r="AJ13" s="36"/>
      <c r="AK13" s="36"/>
      <c r="AL13" s="36"/>
      <c r="AM13" s="36"/>
      <c r="AN13" s="36"/>
      <c r="AO13" s="1"/>
    </row>
    <row r="14" spans="1:41" s="2" customFormat="1" ht="17.100000000000001" customHeight="1">
      <c r="A14" s="5" t="s">
        <v>10</v>
      </c>
      <c r="B14" s="4">
        <v>1</v>
      </c>
      <c r="C14" s="4">
        <v>10</v>
      </c>
      <c r="D14" s="4" t="s">
        <v>72</v>
      </c>
      <c r="E14" s="4" t="s">
        <v>72</v>
      </c>
      <c r="F14" s="4" t="s">
        <v>72</v>
      </c>
      <c r="G14" s="4">
        <v>15</v>
      </c>
      <c r="H14" s="4">
        <v>190</v>
      </c>
      <c r="I14" s="4">
        <v>180.61</v>
      </c>
      <c r="J14" s="60">
        <f t="shared" si="2"/>
        <v>0.95057894736842108</v>
      </c>
      <c r="K14" s="4">
        <v>20</v>
      </c>
      <c r="L14" s="4">
        <v>2475</v>
      </c>
      <c r="M14" s="4">
        <v>2115</v>
      </c>
      <c r="N14" s="60">
        <f t="shared" si="3"/>
        <v>0.8545454545454545</v>
      </c>
      <c r="O14" s="4">
        <v>15</v>
      </c>
      <c r="P14" s="24">
        <f t="shared" si="4"/>
        <v>0.92955023923444968</v>
      </c>
      <c r="Q14" s="48">
        <v>55019</v>
      </c>
      <c r="R14" s="19">
        <f t="shared" si="5"/>
        <v>30010.400000000001</v>
      </c>
      <c r="S14" s="19">
        <f t="shared" si="6"/>
        <v>27896.2</v>
      </c>
      <c r="T14" s="19">
        <f t="shared" si="7"/>
        <v>-2114.2000000000007</v>
      </c>
      <c r="U14" s="19">
        <v>112.2</v>
      </c>
      <c r="V14" s="19">
        <f t="shared" si="8"/>
        <v>27784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f t="shared" si="9"/>
        <v>4593.3</v>
      </c>
      <c r="AE14" s="41"/>
      <c r="AF14" s="41"/>
      <c r="AG14" s="42"/>
      <c r="AH14" s="19">
        <f t="shared" si="10"/>
        <v>4593.3</v>
      </c>
      <c r="AI14" s="36"/>
      <c r="AJ14" s="36"/>
      <c r="AK14" s="36"/>
      <c r="AL14" s="36"/>
      <c r="AM14" s="36"/>
      <c r="AN14" s="36"/>
    </row>
    <row r="15" spans="1:41" s="2" customFormat="1" ht="16.5" customHeight="1">
      <c r="A15" s="5" t="s">
        <v>11</v>
      </c>
      <c r="B15" s="4">
        <v>1</v>
      </c>
      <c r="C15" s="4">
        <v>10</v>
      </c>
      <c r="D15" s="4" t="s">
        <v>72</v>
      </c>
      <c r="E15" s="4" t="s">
        <v>72</v>
      </c>
      <c r="F15" s="4" t="s">
        <v>72</v>
      </c>
      <c r="G15" s="4">
        <v>15</v>
      </c>
      <c r="H15" s="4">
        <v>195</v>
      </c>
      <c r="I15" s="4">
        <v>179.44</v>
      </c>
      <c r="J15" s="60">
        <f t="shared" si="2"/>
        <v>0.92020512820512823</v>
      </c>
      <c r="K15" s="4">
        <v>20</v>
      </c>
      <c r="L15" s="4">
        <v>3096</v>
      </c>
      <c r="M15" s="4">
        <v>5952</v>
      </c>
      <c r="N15" s="60">
        <f t="shared" si="3"/>
        <v>1.2722480620155039</v>
      </c>
      <c r="O15" s="4">
        <v>15</v>
      </c>
      <c r="P15" s="24">
        <f t="shared" si="4"/>
        <v>1.0552849665407806</v>
      </c>
      <c r="Q15" s="48">
        <v>87163</v>
      </c>
      <c r="R15" s="19">
        <f t="shared" si="5"/>
        <v>47543.5</v>
      </c>
      <c r="S15" s="19">
        <f t="shared" si="6"/>
        <v>50171.9</v>
      </c>
      <c r="T15" s="19">
        <f t="shared" si="7"/>
        <v>2628.4000000000015</v>
      </c>
      <c r="U15" s="19">
        <v>0</v>
      </c>
      <c r="V15" s="19">
        <f t="shared" si="8"/>
        <v>50171.9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f t="shared" si="9"/>
        <v>8362</v>
      </c>
      <c r="AE15" s="41"/>
      <c r="AF15" s="41"/>
      <c r="AG15" s="42"/>
      <c r="AH15" s="19">
        <f t="shared" si="10"/>
        <v>8362</v>
      </c>
      <c r="AI15" s="36"/>
      <c r="AJ15" s="36"/>
      <c r="AK15" s="36"/>
      <c r="AL15" s="36"/>
      <c r="AM15" s="36"/>
      <c r="AN15" s="36"/>
    </row>
    <row r="16" spans="1:41" s="2" customFormat="1" ht="17.100000000000001" customHeight="1">
      <c r="A16" s="34" t="s">
        <v>12</v>
      </c>
      <c r="B16" s="4">
        <v>1</v>
      </c>
      <c r="C16" s="4">
        <v>10</v>
      </c>
      <c r="D16" s="4" t="s">
        <v>72</v>
      </c>
      <c r="E16" s="4" t="s">
        <v>72</v>
      </c>
      <c r="F16" s="4" t="s">
        <v>72</v>
      </c>
      <c r="G16" s="4">
        <v>15</v>
      </c>
      <c r="H16" s="4">
        <v>195</v>
      </c>
      <c r="I16" s="4">
        <v>193.81</v>
      </c>
      <c r="J16" s="60">
        <f t="shared" si="2"/>
        <v>0.99389743589743595</v>
      </c>
      <c r="K16" s="4">
        <v>20</v>
      </c>
      <c r="L16" s="4">
        <v>1533</v>
      </c>
      <c r="M16" s="4">
        <v>1947</v>
      </c>
      <c r="N16" s="60">
        <f t="shared" si="3"/>
        <v>1.2070058708414872</v>
      </c>
      <c r="O16" s="4">
        <v>15</v>
      </c>
      <c r="P16" s="24">
        <f t="shared" si="4"/>
        <v>1.0662897062349117</v>
      </c>
      <c r="Q16" s="48">
        <v>78806</v>
      </c>
      <c r="R16" s="19">
        <f t="shared" si="5"/>
        <v>42985.1</v>
      </c>
      <c r="S16" s="19">
        <f t="shared" si="6"/>
        <v>45834.6</v>
      </c>
      <c r="T16" s="19">
        <f t="shared" si="7"/>
        <v>2849.5</v>
      </c>
      <c r="U16" s="19">
        <v>2137.5</v>
      </c>
      <c r="V16" s="19">
        <f t="shared" si="8"/>
        <v>43697.1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f t="shared" si="9"/>
        <v>6570.4</v>
      </c>
      <c r="AE16" s="41"/>
      <c r="AF16" s="41"/>
      <c r="AG16" s="42"/>
      <c r="AH16" s="19">
        <f t="shared" si="10"/>
        <v>6570.4</v>
      </c>
      <c r="AI16" s="36"/>
      <c r="AJ16" s="36"/>
      <c r="AK16" s="36"/>
      <c r="AL16" s="36"/>
      <c r="AM16" s="36"/>
      <c r="AN16" s="36"/>
    </row>
    <row r="17" spans="1:41" s="2" customFormat="1" ht="17.100000000000001" customHeight="1">
      <c r="A17" s="5" t="s">
        <v>13</v>
      </c>
      <c r="B17" s="4">
        <v>1</v>
      </c>
      <c r="C17" s="4">
        <v>10</v>
      </c>
      <c r="D17" s="4" t="s">
        <v>72</v>
      </c>
      <c r="E17" s="4" t="s">
        <v>72</v>
      </c>
      <c r="F17" s="4" t="s">
        <v>72</v>
      </c>
      <c r="G17" s="4">
        <v>15</v>
      </c>
      <c r="H17" s="4">
        <v>190</v>
      </c>
      <c r="I17" s="4">
        <v>192.13</v>
      </c>
      <c r="J17" s="60">
        <f t="shared" si="2"/>
        <v>1.0112105263157896</v>
      </c>
      <c r="K17" s="4">
        <v>20</v>
      </c>
      <c r="L17" s="4">
        <v>12431</v>
      </c>
      <c r="M17" s="4">
        <v>21079</v>
      </c>
      <c r="N17" s="60">
        <f t="shared" si="3"/>
        <v>1.2495680154452578</v>
      </c>
      <c r="O17" s="4">
        <v>15</v>
      </c>
      <c r="P17" s="24">
        <f t="shared" si="4"/>
        <v>1.0881717946221034</v>
      </c>
      <c r="Q17" s="48">
        <v>88861</v>
      </c>
      <c r="R17" s="19">
        <f t="shared" si="5"/>
        <v>48469.599999999999</v>
      </c>
      <c r="S17" s="19">
        <f t="shared" si="6"/>
        <v>52743.3</v>
      </c>
      <c r="T17" s="19">
        <f t="shared" si="7"/>
        <v>4273.7000000000044</v>
      </c>
      <c r="U17" s="19">
        <v>806.4</v>
      </c>
      <c r="V17" s="19">
        <f t="shared" si="8"/>
        <v>51936.9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f t="shared" si="9"/>
        <v>8387.2999999999993</v>
      </c>
      <c r="AE17" s="41"/>
      <c r="AF17" s="41"/>
      <c r="AG17" s="42"/>
      <c r="AH17" s="19">
        <f t="shared" si="10"/>
        <v>8387.2999999999993</v>
      </c>
      <c r="AI17" s="36"/>
      <c r="AJ17" s="36"/>
      <c r="AK17" s="36"/>
      <c r="AL17" s="36"/>
      <c r="AM17" s="36"/>
      <c r="AN17" s="36"/>
    </row>
    <row r="18" spans="1:41" s="2" customFormat="1" ht="17.100000000000001" customHeight="1">
      <c r="A18" s="5" t="s">
        <v>14</v>
      </c>
      <c r="B18" s="4">
        <v>1</v>
      </c>
      <c r="C18" s="4">
        <v>10</v>
      </c>
      <c r="D18" s="4" t="s">
        <v>72</v>
      </c>
      <c r="E18" s="4" t="s">
        <v>72</v>
      </c>
      <c r="F18" s="4" t="s">
        <v>72</v>
      </c>
      <c r="G18" s="4">
        <v>15</v>
      </c>
      <c r="H18" s="4">
        <v>190</v>
      </c>
      <c r="I18" s="4">
        <v>192.03</v>
      </c>
      <c r="J18" s="60">
        <f>IF(K18=0,0,IF(H18=0,1,IF(I18&lt;0,0,IF(I18/H18&gt;1.2,IF((I18/H18-1.2)*0.1+1.2&gt;1.3,1.3,(I18/H18-1.2)*0.1+1.2),I18/H18))))</f>
        <v>1.0106842105263159</v>
      </c>
      <c r="K18" s="4">
        <v>20</v>
      </c>
      <c r="L18" s="4">
        <v>2105</v>
      </c>
      <c r="M18" s="4">
        <v>1262</v>
      </c>
      <c r="N18" s="60">
        <f t="shared" si="3"/>
        <v>0.59952494061757722</v>
      </c>
      <c r="O18" s="4">
        <v>15</v>
      </c>
      <c r="P18" s="24">
        <f t="shared" si="4"/>
        <v>0.87125685155088839</v>
      </c>
      <c r="Q18" s="48">
        <v>58156</v>
      </c>
      <c r="R18" s="19">
        <f t="shared" si="5"/>
        <v>31721.5</v>
      </c>
      <c r="S18" s="19">
        <f t="shared" si="6"/>
        <v>27637.599999999999</v>
      </c>
      <c r="T18" s="19">
        <f t="shared" si="7"/>
        <v>-4083.9000000000015</v>
      </c>
      <c r="U18" s="19">
        <v>1574.5</v>
      </c>
      <c r="V18" s="19">
        <f t="shared" si="8"/>
        <v>26063.1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f t="shared" si="9"/>
        <v>3819.1</v>
      </c>
      <c r="AE18" s="41"/>
      <c r="AF18" s="41"/>
      <c r="AG18" s="42"/>
      <c r="AH18" s="19">
        <f t="shared" si="10"/>
        <v>3819.1</v>
      </c>
      <c r="AI18" s="36"/>
      <c r="AJ18" s="36"/>
      <c r="AK18" s="36"/>
      <c r="AL18" s="36"/>
      <c r="AM18" s="36"/>
      <c r="AN18" s="36"/>
    </row>
    <row r="19" spans="1:41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9"/>
      <c r="J19" s="9"/>
      <c r="K19" s="9"/>
      <c r="L19" s="61">
        <f>SUM(L20:L46)</f>
        <v>170169</v>
      </c>
      <c r="M19" s="61">
        <f>SUM(M20:M46)</f>
        <v>272691</v>
      </c>
      <c r="N19" s="52">
        <f>IF(M19/L19&gt;1.2,IF((M19/L19-1.2)*0.1+1.2&gt;1.3,1.3,(M19/L19-1.2)*0.1+1.2),M19/L19)</f>
        <v>1.2402471660525713</v>
      </c>
      <c r="O19" s="9"/>
      <c r="P19" s="10"/>
      <c r="Q19" s="45">
        <f t="shared" ref="Q19:AD19" si="11">SUM(Q20:Q46)</f>
        <v>1420708</v>
      </c>
      <c r="R19" s="18">
        <f t="shared" si="11"/>
        <v>774931.29999999993</v>
      </c>
      <c r="S19" s="18">
        <f t="shared" si="11"/>
        <v>773772.2</v>
      </c>
      <c r="T19" s="18">
        <f t="shared" si="11"/>
        <v>-1159.0999999999858</v>
      </c>
      <c r="U19" s="18">
        <f t="shared" ref="U19:V19" si="12">SUM(U20:U46)</f>
        <v>11113.1</v>
      </c>
      <c r="V19" s="18">
        <f t="shared" si="12"/>
        <v>762659.09999999986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>
        <f t="shared" si="11"/>
        <v>123404.90000000001</v>
      </c>
      <c r="AE19" s="18"/>
      <c r="AF19" s="18"/>
      <c r="AG19" s="18"/>
      <c r="AH19" s="18">
        <f>SUM(AH20:AH46)</f>
        <v>123404.90000000001</v>
      </c>
      <c r="AI19" s="36"/>
      <c r="AJ19" s="36"/>
      <c r="AK19" s="36"/>
      <c r="AL19" s="36"/>
      <c r="AM19" s="36"/>
      <c r="AN19" s="36"/>
      <c r="AO19" s="1"/>
    </row>
    <row r="20" spans="1:41" s="2" customFormat="1" ht="17.100000000000001" customHeight="1">
      <c r="A20" s="6" t="s">
        <v>0</v>
      </c>
      <c r="B20" s="4">
        <v>1</v>
      </c>
      <c r="C20" s="4">
        <v>10</v>
      </c>
      <c r="D20" s="4" t="s">
        <v>72</v>
      </c>
      <c r="E20" s="4" t="s">
        <v>72</v>
      </c>
      <c r="F20" s="4" t="s">
        <v>72</v>
      </c>
      <c r="G20" s="4">
        <v>10</v>
      </c>
      <c r="H20" s="4">
        <v>195</v>
      </c>
      <c r="I20" s="4">
        <v>180.82</v>
      </c>
      <c r="J20" s="60">
        <f>IF(K20=0,0,IF(H20=0,1,IF(I20&lt;0,0,IF(I20/H20&gt;1.2,IF((I20/H20-1.2)*0.1+1.2&gt;1.3,1.3,(I20/H20-1.2)*0.1+1.2),I20/H20))))</f>
        <v>0.92728205128205121</v>
      </c>
      <c r="K20" s="4">
        <v>15</v>
      </c>
      <c r="L20" s="4">
        <v>688</v>
      </c>
      <c r="M20" s="4">
        <v>543</v>
      </c>
      <c r="N20" s="60">
        <f t="shared" si="3"/>
        <v>0.78924418604651159</v>
      </c>
      <c r="O20" s="4">
        <v>5</v>
      </c>
      <c r="P20" s="24">
        <f t="shared" si="4"/>
        <v>0.92851505664877743</v>
      </c>
      <c r="Q20" s="48">
        <v>33106</v>
      </c>
      <c r="R20" s="19">
        <f t="shared" si="5"/>
        <v>18057.8</v>
      </c>
      <c r="S20" s="19">
        <f>ROUND(P20*R20,1)</f>
        <v>16766.900000000001</v>
      </c>
      <c r="T20" s="19">
        <f>S20-R20</f>
        <v>-1290.8999999999978</v>
      </c>
      <c r="U20" s="19">
        <v>576.79999999999995</v>
      </c>
      <c r="V20" s="19">
        <f t="shared" si="8"/>
        <v>16190.100000000002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f t="shared" si="9"/>
        <v>2506</v>
      </c>
      <c r="AE20" s="42"/>
      <c r="AF20" s="41"/>
      <c r="AG20" s="42"/>
      <c r="AH20" s="19">
        <f t="shared" si="10"/>
        <v>2506</v>
      </c>
      <c r="AI20" s="36"/>
      <c r="AJ20" s="36"/>
      <c r="AK20" s="36"/>
      <c r="AL20" s="36"/>
      <c r="AM20" s="36"/>
      <c r="AN20" s="36"/>
      <c r="AO20" s="1"/>
    </row>
    <row r="21" spans="1:41" s="2" customFormat="1" ht="17.100000000000001" customHeight="1">
      <c r="A21" s="6" t="s">
        <v>18</v>
      </c>
      <c r="B21" s="4">
        <v>1</v>
      </c>
      <c r="C21" s="4">
        <v>10</v>
      </c>
      <c r="D21" s="4" t="s">
        <v>72</v>
      </c>
      <c r="E21" s="4" t="s">
        <v>72</v>
      </c>
      <c r="F21" s="4" t="s">
        <v>72</v>
      </c>
      <c r="G21" s="4">
        <v>10</v>
      </c>
      <c r="H21" s="4">
        <v>195</v>
      </c>
      <c r="I21" s="4">
        <v>196.36</v>
      </c>
      <c r="J21" s="60">
        <f t="shared" ref="J21:J46" si="13">IF(K21=0,0,IF(H21=0,1,IF(I21&lt;0,0,IF(I21/H21&gt;1.2,IF((I21/H21-1.2)*0.1+1.2&gt;1.3,1.3,(I21/H21-1.2)*0.1+1.2),I21/H21))))</f>
        <v>1.0069743589743589</v>
      </c>
      <c r="K21" s="4">
        <v>15</v>
      </c>
      <c r="L21" s="4">
        <v>3878</v>
      </c>
      <c r="M21" s="4">
        <v>3336</v>
      </c>
      <c r="N21" s="60">
        <f t="shared" si="3"/>
        <v>0.86023723568849919</v>
      </c>
      <c r="O21" s="4">
        <v>5</v>
      </c>
      <c r="P21" s="24">
        <f t="shared" si="4"/>
        <v>0.98019338543526269</v>
      </c>
      <c r="Q21" s="48">
        <v>61751</v>
      </c>
      <c r="R21" s="19">
        <f t="shared" si="5"/>
        <v>33682.400000000001</v>
      </c>
      <c r="S21" s="19">
        <f t="shared" ref="S21:S45" si="14">ROUND(P21*R21,1)</f>
        <v>33015.300000000003</v>
      </c>
      <c r="T21" s="19">
        <f t="shared" ref="T21:T45" si="15">S21-R21</f>
        <v>-667.09999999999854</v>
      </c>
      <c r="U21" s="19">
        <v>655.8</v>
      </c>
      <c r="V21" s="19">
        <f t="shared" si="8"/>
        <v>32359.500000000004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f t="shared" si="9"/>
        <v>5174.7</v>
      </c>
      <c r="AE21" s="41"/>
      <c r="AF21" s="41"/>
      <c r="AG21" s="42"/>
      <c r="AH21" s="19">
        <f t="shared" si="10"/>
        <v>5174.7</v>
      </c>
      <c r="AI21" s="36"/>
      <c r="AJ21" s="36"/>
      <c r="AK21" s="36"/>
      <c r="AL21" s="36"/>
      <c r="AM21" s="36"/>
      <c r="AN21" s="36"/>
      <c r="AO21" s="1"/>
    </row>
    <row r="22" spans="1:41" s="2" customFormat="1" ht="17.100000000000001" customHeight="1">
      <c r="A22" s="6" t="s">
        <v>19</v>
      </c>
      <c r="B22" s="4">
        <v>1</v>
      </c>
      <c r="C22" s="4">
        <v>10</v>
      </c>
      <c r="D22" s="4" t="s">
        <v>72</v>
      </c>
      <c r="E22" s="4" t="s">
        <v>72</v>
      </c>
      <c r="F22" s="4" t="s">
        <v>72</v>
      </c>
      <c r="G22" s="4">
        <v>10</v>
      </c>
      <c r="H22" s="4">
        <v>190</v>
      </c>
      <c r="I22" s="4">
        <v>188.57</v>
      </c>
      <c r="J22" s="60">
        <f t="shared" si="13"/>
        <v>0.99247368421052629</v>
      </c>
      <c r="K22" s="4">
        <v>15</v>
      </c>
      <c r="L22" s="4">
        <v>1797</v>
      </c>
      <c r="M22" s="4">
        <v>1854</v>
      </c>
      <c r="N22" s="60">
        <f t="shared" si="3"/>
        <v>1.0317195325542572</v>
      </c>
      <c r="O22" s="4">
        <v>5</v>
      </c>
      <c r="P22" s="24">
        <f t="shared" si="4"/>
        <v>1.001523430864306</v>
      </c>
      <c r="Q22" s="48">
        <v>40986</v>
      </c>
      <c r="R22" s="19">
        <f t="shared" si="5"/>
        <v>22356</v>
      </c>
      <c r="S22" s="19">
        <f t="shared" si="14"/>
        <v>22390.1</v>
      </c>
      <c r="T22" s="19">
        <f t="shared" si="15"/>
        <v>34.099999999998545</v>
      </c>
      <c r="U22" s="19">
        <v>197.1</v>
      </c>
      <c r="V22" s="19">
        <f t="shared" si="8"/>
        <v>22193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f t="shared" si="9"/>
        <v>3633.2</v>
      </c>
      <c r="AE22" s="41"/>
      <c r="AF22" s="41"/>
      <c r="AG22" s="42"/>
      <c r="AH22" s="19">
        <f t="shared" si="10"/>
        <v>3633.2</v>
      </c>
      <c r="AI22" s="36"/>
      <c r="AJ22" s="36"/>
      <c r="AK22" s="36"/>
      <c r="AL22" s="36"/>
      <c r="AM22" s="36"/>
      <c r="AN22" s="36"/>
      <c r="AO22" s="1"/>
    </row>
    <row r="23" spans="1:41" s="2" customFormat="1" ht="17.100000000000001" customHeight="1">
      <c r="A23" s="6" t="s">
        <v>20</v>
      </c>
      <c r="B23" s="4">
        <v>1</v>
      </c>
      <c r="C23" s="4">
        <v>10</v>
      </c>
      <c r="D23" s="4" t="s">
        <v>72</v>
      </c>
      <c r="E23" s="4" t="s">
        <v>72</v>
      </c>
      <c r="F23" s="4" t="s">
        <v>72</v>
      </c>
      <c r="G23" s="4">
        <v>10</v>
      </c>
      <c r="H23" s="4">
        <v>195</v>
      </c>
      <c r="I23" s="4">
        <v>196.32999999999998</v>
      </c>
      <c r="J23" s="60">
        <f t="shared" si="13"/>
        <v>1.0068205128205128</v>
      </c>
      <c r="K23" s="4">
        <v>15</v>
      </c>
      <c r="L23" s="4">
        <v>1135</v>
      </c>
      <c r="M23" s="4">
        <v>2407</v>
      </c>
      <c r="N23" s="60">
        <f t="shared" si="3"/>
        <v>1.2920704845814979</v>
      </c>
      <c r="O23" s="4">
        <v>5</v>
      </c>
      <c r="P23" s="24">
        <f t="shared" si="4"/>
        <v>1.0520886705071726</v>
      </c>
      <c r="Q23" s="48">
        <v>45530</v>
      </c>
      <c r="R23" s="19">
        <f t="shared" si="5"/>
        <v>24834.5</v>
      </c>
      <c r="S23" s="19">
        <f t="shared" si="14"/>
        <v>26128.1</v>
      </c>
      <c r="T23" s="19">
        <f t="shared" si="15"/>
        <v>1293.5999999999985</v>
      </c>
      <c r="U23" s="19">
        <v>702.1</v>
      </c>
      <c r="V23" s="19">
        <f t="shared" si="8"/>
        <v>25426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f t="shared" si="9"/>
        <v>4003.5</v>
      </c>
      <c r="AE23" s="41"/>
      <c r="AF23" s="41"/>
      <c r="AG23" s="42"/>
      <c r="AH23" s="19">
        <f t="shared" si="10"/>
        <v>4003.5</v>
      </c>
      <c r="AI23" s="36"/>
      <c r="AJ23" s="36"/>
      <c r="AK23" s="36"/>
      <c r="AL23" s="36"/>
      <c r="AM23" s="36"/>
      <c r="AN23" s="36"/>
      <c r="AO23" s="1"/>
    </row>
    <row r="24" spans="1:41" s="2" customFormat="1" ht="17.100000000000001" customHeight="1">
      <c r="A24" s="6" t="s">
        <v>21</v>
      </c>
      <c r="B24" s="4">
        <v>1</v>
      </c>
      <c r="C24" s="4">
        <v>10</v>
      </c>
      <c r="D24" s="4" t="s">
        <v>72</v>
      </c>
      <c r="E24" s="4" t="s">
        <v>72</v>
      </c>
      <c r="F24" s="4" t="s">
        <v>72</v>
      </c>
      <c r="G24" s="4">
        <v>10</v>
      </c>
      <c r="H24" s="4">
        <v>190</v>
      </c>
      <c r="I24" s="4">
        <v>170.05</v>
      </c>
      <c r="J24" s="60">
        <f t="shared" si="13"/>
        <v>0.89500000000000002</v>
      </c>
      <c r="K24" s="4">
        <v>15</v>
      </c>
      <c r="L24" s="4">
        <v>827</v>
      </c>
      <c r="M24" s="4">
        <v>754</v>
      </c>
      <c r="N24" s="60">
        <f t="shared" si="3"/>
        <v>0.91172914147521156</v>
      </c>
      <c r="O24" s="4">
        <v>5</v>
      </c>
      <c r="P24" s="24">
        <f t="shared" si="4"/>
        <v>0.93278819024586868</v>
      </c>
      <c r="Q24" s="48">
        <v>44779</v>
      </c>
      <c r="R24" s="19">
        <f t="shared" si="5"/>
        <v>24424.9</v>
      </c>
      <c r="S24" s="19">
        <f t="shared" si="14"/>
        <v>22783.3</v>
      </c>
      <c r="T24" s="19">
        <f t="shared" si="15"/>
        <v>-1641.6000000000022</v>
      </c>
      <c r="U24" s="19">
        <v>0</v>
      </c>
      <c r="V24" s="19">
        <f t="shared" si="8"/>
        <v>22783.3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f t="shared" si="9"/>
        <v>3797.2</v>
      </c>
      <c r="AE24" s="41"/>
      <c r="AF24" s="41"/>
      <c r="AG24" s="42"/>
      <c r="AH24" s="19">
        <f t="shared" si="10"/>
        <v>3797.2</v>
      </c>
      <c r="AI24" s="36"/>
      <c r="AJ24" s="36"/>
      <c r="AK24" s="36"/>
      <c r="AL24" s="36"/>
      <c r="AM24" s="36"/>
      <c r="AN24" s="36"/>
      <c r="AO24" s="1"/>
    </row>
    <row r="25" spans="1:41" s="2" customFormat="1" ht="17.100000000000001" customHeight="1">
      <c r="A25" s="6" t="s">
        <v>22</v>
      </c>
      <c r="B25" s="4">
        <v>1</v>
      </c>
      <c r="C25" s="4">
        <v>10</v>
      </c>
      <c r="D25" s="4" t="s">
        <v>72</v>
      </c>
      <c r="E25" s="4" t="s">
        <v>72</v>
      </c>
      <c r="F25" s="4" t="s">
        <v>72</v>
      </c>
      <c r="G25" s="4">
        <v>10</v>
      </c>
      <c r="H25" s="4">
        <v>195</v>
      </c>
      <c r="I25" s="4">
        <v>192.04000000000002</v>
      </c>
      <c r="J25" s="60">
        <f t="shared" si="13"/>
        <v>0.98482051282051297</v>
      </c>
      <c r="K25" s="4">
        <v>15</v>
      </c>
      <c r="L25" s="4">
        <v>2694</v>
      </c>
      <c r="M25" s="4">
        <v>3893</v>
      </c>
      <c r="N25" s="60">
        <f t="shared" si="3"/>
        <v>1.224506310319228</v>
      </c>
      <c r="O25" s="4">
        <v>5</v>
      </c>
      <c r="P25" s="24">
        <f t="shared" si="4"/>
        <v>1.0298279747967944</v>
      </c>
      <c r="Q25" s="48">
        <v>59546</v>
      </c>
      <c r="R25" s="19">
        <f t="shared" si="5"/>
        <v>32479.599999999999</v>
      </c>
      <c r="S25" s="19">
        <f t="shared" si="14"/>
        <v>33448.400000000001</v>
      </c>
      <c r="T25" s="19">
        <f t="shared" si="15"/>
        <v>968.80000000000291</v>
      </c>
      <c r="U25" s="19">
        <v>0</v>
      </c>
      <c r="V25" s="19">
        <f t="shared" si="8"/>
        <v>33448.400000000001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f t="shared" si="9"/>
        <v>5574.7</v>
      </c>
      <c r="AE25" s="42"/>
      <c r="AF25" s="41"/>
      <c r="AG25" s="42"/>
      <c r="AH25" s="19">
        <f t="shared" si="10"/>
        <v>5574.7</v>
      </c>
      <c r="AI25" s="36"/>
      <c r="AJ25" s="36"/>
      <c r="AK25" s="36"/>
      <c r="AL25" s="36"/>
      <c r="AM25" s="36"/>
      <c r="AN25" s="36"/>
      <c r="AO25" s="1"/>
    </row>
    <row r="26" spans="1:41" s="2" customFormat="1" ht="17.100000000000001" customHeight="1">
      <c r="A26" s="6" t="s">
        <v>23</v>
      </c>
      <c r="B26" s="4">
        <v>1</v>
      </c>
      <c r="C26" s="4">
        <v>10</v>
      </c>
      <c r="D26" s="4" t="s">
        <v>72</v>
      </c>
      <c r="E26" s="4" t="s">
        <v>72</v>
      </c>
      <c r="F26" s="4" t="s">
        <v>72</v>
      </c>
      <c r="G26" s="4">
        <v>10</v>
      </c>
      <c r="H26" s="4">
        <v>180</v>
      </c>
      <c r="I26" s="4">
        <v>178.81</v>
      </c>
      <c r="J26" s="60">
        <f t="shared" si="13"/>
        <v>0.99338888888888888</v>
      </c>
      <c r="K26" s="4">
        <v>15</v>
      </c>
      <c r="L26" s="4">
        <v>55134</v>
      </c>
      <c r="M26" s="4">
        <v>72065</v>
      </c>
      <c r="N26" s="60">
        <f t="shared" si="3"/>
        <v>1.2107088185148909</v>
      </c>
      <c r="O26" s="4">
        <v>5</v>
      </c>
      <c r="P26" s="24">
        <f t="shared" si="4"/>
        <v>1.031812580863593</v>
      </c>
      <c r="Q26" s="48">
        <f>93484+2347</f>
        <v>95831</v>
      </c>
      <c r="R26" s="19">
        <f t="shared" si="5"/>
        <v>52271.5</v>
      </c>
      <c r="S26" s="19">
        <f t="shared" si="14"/>
        <v>53934.400000000001</v>
      </c>
      <c r="T26" s="19">
        <f t="shared" si="15"/>
        <v>1662.9000000000015</v>
      </c>
      <c r="U26" s="19">
        <v>0</v>
      </c>
      <c r="V26" s="19">
        <f t="shared" si="8"/>
        <v>53934.400000000001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f t="shared" si="9"/>
        <v>8989.2000000000007</v>
      </c>
      <c r="AE26" s="41"/>
      <c r="AF26" s="41"/>
      <c r="AG26" s="42"/>
      <c r="AH26" s="19">
        <f t="shared" si="10"/>
        <v>8989.2000000000007</v>
      </c>
      <c r="AI26" s="36"/>
      <c r="AJ26" s="36"/>
      <c r="AK26" s="36"/>
      <c r="AL26" s="36"/>
      <c r="AM26" s="36"/>
      <c r="AN26" s="36"/>
      <c r="AO26" s="1"/>
    </row>
    <row r="27" spans="1:41" s="2" customFormat="1" ht="16.5" customHeight="1">
      <c r="A27" s="6" t="s">
        <v>24</v>
      </c>
      <c r="B27" s="4">
        <v>1</v>
      </c>
      <c r="C27" s="4">
        <v>10</v>
      </c>
      <c r="D27" s="4" t="s">
        <v>72</v>
      </c>
      <c r="E27" s="4" t="s">
        <v>72</v>
      </c>
      <c r="F27" s="4" t="s">
        <v>72</v>
      </c>
      <c r="G27" s="4">
        <v>10</v>
      </c>
      <c r="H27" s="4">
        <v>190</v>
      </c>
      <c r="I27" s="4">
        <v>181.2</v>
      </c>
      <c r="J27" s="60">
        <f t="shared" si="13"/>
        <v>0.95368421052631569</v>
      </c>
      <c r="K27" s="4">
        <v>15</v>
      </c>
      <c r="L27" s="4">
        <v>743</v>
      </c>
      <c r="M27" s="4">
        <v>1369</v>
      </c>
      <c r="N27" s="60">
        <f t="shared" si="3"/>
        <v>1.2642530282637954</v>
      </c>
      <c r="O27" s="4">
        <v>5</v>
      </c>
      <c r="P27" s="24">
        <f t="shared" si="4"/>
        <v>1.0208842766404571</v>
      </c>
      <c r="Q27" s="48">
        <v>24800</v>
      </c>
      <c r="R27" s="19">
        <f t="shared" si="5"/>
        <v>13527.3</v>
      </c>
      <c r="S27" s="19">
        <f t="shared" si="14"/>
        <v>13809.8</v>
      </c>
      <c r="T27" s="19">
        <f t="shared" si="15"/>
        <v>282.5</v>
      </c>
      <c r="U27" s="19">
        <v>0</v>
      </c>
      <c r="V27" s="19">
        <f t="shared" si="8"/>
        <v>13809.8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f t="shared" si="9"/>
        <v>2301.6999999999998</v>
      </c>
      <c r="AE27" s="41"/>
      <c r="AF27" s="41"/>
      <c r="AG27" s="42"/>
      <c r="AH27" s="19">
        <f t="shared" si="10"/>
        <v>2301.6999999999998</v>
      </c>
      <c r="AI27" s="36"/>
      <c r="AJ27" s="36"/>
      <c r="AK27" s="36"/>
      <c r="AL27" s="36"/>
      <c r="AM27" s="36"/>
      <c r="AN27" s="36"/>
      <c r="AO27" s="1"/>
    </row>
    <row r="28" spans="1:41" s="2" customFormat="1" ht="17.100000000000001" customHeight="1">
      <c r="A28" s="6" t="s">
        <v>25</v>
      </c>
      <c r="B28" s="4">
        <v>1</v>
      </c>
      <c r="C28" s="4">
        <v>10</v>
      </c>
      <c r="D28" s="4" t="s">
        <v>72</v>
      </c>
      <c r="E28" s="4" t="s">
        <v>72</v>
      </c>
      <c r="F28" s="4" t="s">
        <v>72</v>
      </c>
      <c r="G28" s="4">
        <v>10</v>
      </c>
      <c r="H28" s="4">
        <v>195</v>
      </c>
      <c r="I28" s="4">
        <v>196.13</v>
      </c>
      <c r="J28" s="60">
        <f t="shared" si="13"/>
        <v>1.0057948717948717</v>
      </c>
      <c r="K28" s="4">
        <v>15</v>
      </c>
      <c r="L28" s="4">
        <v>1273</v>
      </c>
      <c r="M28" s="4">
        <v>930</v>
      </c>
      <c r="N28" s="60">
        <f t="shared" si="3"/>
        <v>0.73055773762765119</v>
      </c>
      <c r="O28" s="4">
        <v>5</v>
      </c>
      <c r="P28" s="24">
        <f t="shared" si="4"/>
        <v>0.95799039216871096</v>
      </c>
      <c r="Q28" s="48">
        <v>46312</v>
      </c>
      <c r="R28" s="19">
        <f t="shared" si="5"/>
        <v>25261.1</v>
      </c>
      <c r="S28" s="19">
        <f t="shared" si="14"/>
        <v>24199.9</v>
      </c>
      <c r="T28" s="19">
        <f t="shared" si="15"/>
        <v>-1061.1999999999971</v>
      </c>
      <c r="U28" s="19">
        <v>859.3</v>
      </c>
      <c r="V28" s="19">
        <f t="shared" si="8"/>
        <v>23340.600000000002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f t="shared" si="9"/>
        <v>3603.7</v>
      </c>
      <c r="AE28" s="41"/>
      <c r="AF28" s="41"/>
      <c r="AG28" s="42"/>
      <c r="AH28" s="19">
        <f t="shared" si="10"/>
        <v>3603.7</v>
      </c>
      <c r="AI28" s="36"/>
      <c r="AJ28" s="36"/>
      <c r="AK28" s="36"/>
      <c r="AL28" s="36"/>
      <c r="AM28" s="36"/>
      <c r="AN28" s="36"/>
      <c r="AO28" s="1"/>
    </row>
    <row r="29" spans="1:41" s="2" customFormat="1" ht="17.100000000000001" customHeight="1">
      <c r="A29" s="6" t="s">
        <v>26</v>
      </c>
      <c r="B29" s="4">
        <v>1</v>
      </c>
      <c r="C29" s="4">
        <v>10</v>
      </c>
      <c r="D29" s="4" t="s">
        <v>72</v>
      </c>
      <c r="E29" s="4" t="s">
        <v>72</v>
      </c>
      <c r="F29" s="4" t="s">
        <v>72</v>
      </c>
      <c r="G29" s="4">
        <v>10</v>
      </c>
      <c r="H29" s="4">
        <v>180</v>
      </c>
      <c r="I29" s="4">
        <v>185.74</v>
      </c>
      <c r="J29" s="60">
        <f t="shared" si="13"/>
        <v>1.0318888888888889</v>
      </c>
      <c r="K29" s="4">
        <v>15</v>
      </c>
      <c r="L29" s="4">
        <v>770</v>
      </c>
      <c r="M29" s="4">
        <v>601</v>
      </c>
      <c r="N29" s="60">
        <f t="shared" si="3"/>
        <v>0.7805194805194805</v>
      </c>
      <c r="O29" s="4">
        <v>5</v>
      </c>
      <c r="P29" s="24">
        <f t="shared" si="4"/>
        <v>0.97936435786435772</v>
      </c>
      <c r="Q29" s="48">
        <v>31914</v>
      </c>
      <c r="R29" s="19">
        <f t="shared" si="5"/>
        <v>17407.599999999999</v>
      </c>
      <c r="S29" s="19">
        <f t="shared" si="14"/>
        <v>17048.400000000001</v>
      </c>
      <c r="T29" s="19">
        <f t="shared" si="15"/>
        <v>-359.19999999999709</v>
      </c>
      <c r="U29" s="19">
        <v>127.9</v>
      </c>
      <c r="V29" s="19">
        <f t="shared" si="8"/>
        <v>16920.5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f t="shared" si="9"/>
        <v>2777.3</v>
      </c>
      <c r="AE29" s="42"/>
      <c r="AF29" s="41"/>
      <c r="AG29" s="42"/>
      <c r="AH29" s="19">
        <f t="shared" si="10"/>
        <v>2777.3</v>
      </c>
      <c r="AI29" s="36"/>
      <c r="AJ29" s="36"/>
      <c r="AK29" s="36"/>
      <c r="AL29" s="36"/>
      <c r="AM29" s="36"/>
      <c r="AN29" s="36"/>
      <c r="AO29" s="1"/>
    </row>
    <row r="30" spans="1:41" s="2" customFormat="1" ht="17.100000000000001" customHeight="1">
      <c r="A30" s="6" t="s">
        <v>27</v>
      </c>
      <c r="B30" s="4">
        <v>1</v>
      </c>
      <c r="C30" s="4">
        <v>10</v>
      </c>
      <c r="D30" s="4" t="s">
        <v>72</v>
      </c>
      <c r="E30" s="4" t="s">
        <v>72</v>
      </c>
      <c r="F30" s="4" t="s">
        <v>72</v>
      </c>
      <c r="G30" s="4">
        <v>10</v>
      </c>
      <c r="H30" s="4">
        <v>200</v>
      </c>
      <c r="I30" s="4">
        <v>200</v>
      </c>
      <c r="J30" s="60">
        <f t="shared" si="13"/>
        <v>1</v>
      </c>
      <c r="K30" s="4">
        <v>15</v>
      </c>
      <c r="L30" s="4">
        <v>7478</v>
      </c>
      <c r="M30" s="4">
        <v>10453</v>
      </c>
      <c r="N30" s="60">
        <f t="shared" si="3"/>
        <v>1.2197833645359721</v>
      </c>
      <c r="O30" s="4">
        <v>5</v>
      </c>
      <c r="P30" s="24">
        <f t="shared" si="4"/>
        <v>1.0366305607559954</v>
      </c>
      <c r="Q30" s="48">
        <v>35651</v>
      </c>
      <c r="R30" s="19">
        <f t="shared" si="5"/>
        <v>19446</v>
      </c>
      <c r="S30" s="19">
        <f t="shared" si="14"/>
        <v>20158.3</v>
      </c>
      <c r="T30" s="19">
        <f t="shared" si="15"/>
        <v>712.29999999999927</v>
      </c>
      <c r="U30" s="19">
        <v>66.7</v>
      </c>
      <c r="V30" s="19">
        <f t="shared" si="8"/>
        <v>20091.599999999999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f t="shared" si="9"/>
        <v>3326.3</v>
      </c>
      <c r="AE30" s="41"/>
      <c r="AF30" s="41"/>
      <c r="AG30" s="42"/>
      <c r="AH30" s="19">
        <f t="shared" si="10"/>
        <v>3326.3</v>
      </c>
      <c r="AI30" s="36"/>
      <c r="AJ30" s="36"/>
      <c r="AK30" s="36"/>
      <c r="AL30" s="36"/>
      <c r="AM30" s="36"/>
      <c r="AN30" s="36"/>
      <c r="AO30" s="1"/>
    </row>
    <row r="31" spans="1:41" s="2" customFormat="1" ht="16.5" customHeight="1">
      <c r="A31" s="6" t="s">
        <v>28</v>
      </c>
      <c r="B31" s="4">
        <v>1</v>
      </c>
      <c r="C31" s="4">
        <v>10</v>
      </c>
      <c r="D31" s="4" t="s">
        <v>72</v>
      </c>
      <c r="E31" s="4" t="s">
        <v>72</v>
      </c>
      <c r="F31" s="4" t="s">
        <v>72</v>
      </c>
      <c r="G31" s="4">
        <v>10</v>
      </c>
      <c r="H31" s="4">
        <v>195</v>
      </c>
      <c r="I31" s="4">
        <v>193.67000000000002</v>
      </c>
      <c r="J31" s="60">
        <f t="shared" si="13"/>
        <v>0.99317948717948723</v>
      </c>
      <c r="K31" s="4">
        <v>15</v>
      </c>
      <c r="L31" s="4">
        <v>5484</v>
      </c>
      <c r="M31" s="4">
        <v>6263</v>
      </c>
      <c r="N31" s="60">
        <f t="shared" si="3"/>
        <v>1.1420495988329686</v>
      </c>
      <c r="O31" s="4">
        <v>5</v>
      </c>
      <c r="P31" s="24">
        <f t="shared" si="4"/>
        <v>1.0202646767285719</v>
      </c>
      <c r="Q31" s="48">
        <v>79940</v>
      </c>
      <c r="R31" s="19">
        <f t="shared" si="5"/>
        <v>43603.6</v>
      </c>
      <c r="S31" s="19">
        <f t="shared" si="14"/>
        <v>44487.199999999997</v>
      </c>
      <c r="T31" s="19">
        <f t="shared" si="15"/>
        <v>883.59999999999854</v>
      </c>
      <c r="U31" s="19">
        <v>0</v>
      </c>
      <c r="V31" s="19">
        <f t="shared" si="8"/>
        <v>44487.199999999997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f t="shared" si="9"/>
        <v>7414.5</v>
      </c>
      <c r="AE31" s="42"/>
      <c r="AF31" s="41"/>
      <c r="AG31" s="42"/>
      <c r="AH31" s="19">
        <f t="shared" si="10"/>
        <v>7414.5</v>
      </c>
      <c r="AI31" s="36"/>
      <c r="AJ31" s="36"/>
      <c r="AK31" s="36"/>
      <c r="AL31" s="36"/>
      <c r="AM31" s="36"/>
      <c r="AN31" s="36"/>
      <c r="AO31" s="1"/>
    </row>
    <row r="32" spans="1:41" s="2" customFormat="1" ht="17.100000000000001" customHeight="1">
      <c r="A32" s="6" t="s">
        <v>29</v>
      </c>
      <c r="B32" s="4">
        <v>1</v>
      </c>
      <c r="C32" s="4">
        <v>10</v>
      </c>
      <c r="D32" s="4" t="s">
        <v>72</v>
      </c>
      <c r="E32" s="4" t="s">
        <v>72</v>
      </c>
      <c r="F32" s="4" t="s">
        <v>72</v>
      </c>
      <c r="G32" s="4">
        <v>10</v>
      </c>
      <c r="H32" s="4">
        <v>195</v>
      </c>
      <c r="I32" s="4">
        <v>196.8</v>
      </c>
      <c r="J32" s="60">
        <f t="shared" si="13"/>
        <v>1.0092307692307694</v>
      </c>
      <c r="K32" s="4">
        <v>15</v>
      </c>
      <c r="L32" s="4">
        <v>1050</v>
      </c>
      <c r="M32" s="4">
        <v>450</v>
      </c>
      <c r="N32" s="60">
        <f t="shared" si="3"/>
        <v>0.42857142857142855</v>
      </c>
      <c r="O32" s="4">
        <v>5</v>
      </c>
      <c r="P32" s="24">
        <f t="shared" si="4"/>
        <v>0.90937728937728945</v>
      </c>
      <c r="Q32" s="48">
        <v>36413</v>
      </c>
      <c r="R32" s="19">
        <f t="shared" si="5"/>
        <v>19861.599999999999</v>
      </c>
      <c r="S32" s="19">
        <f t="shared" si="14"/>
        <v>18061.7</v>
      </c>
      <c r="T32" s="19">
        <f t="shared" si="15"/>
        <v>-1799.8999999999978</v>
      </c>
      <c r="U32" s="19">
        <v>748.1</v>
      </c>
      <c r="V32" s="19">
        <f t="shared" si="8"/>
        <v>17313.600000000002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f t="shared" si="9"/>
        <v>2636.1</v>
      </c>
      <c r="AE32" s="42"/>
      <c r="AF32" s="41"/>
      <c r="AG32" s="42"/>
      <c r="AH32" s="19">
        <f t="shared" si="10"/>
        <v>2636.1</v>
      </c>
      <c r="AI32" s="36"/>
      <c r="AJ32" s="36"/>
      <c r="AK32" s="36"/>
      <c r="AL32" s="36"/>
      <c r="AM32" s="36"/>
      <c r="AN32" s="36"/>
    </row>
    <row r="33" spans="1:41" s="2" customFormat="1" ht="17.100000000000001" customHeight="1">
      <c r="A33" s="6" t="s">
        <v>30</v>
      </c>
      <c r="B33" s="4">
        <v>1</v>
      </c>
      <c r="C33" s="4">
        <v>10</v>
      </c>
      <c r="D33" s="4" t="s">
        <v>72</v>
      </c>
      <c r="E33" s="4" t="s">
        <v>72</v>
      </c>
      <c r="F33" s="4" t="s">
        <v>72</v>
      </c>
      <c r="G33" s="4">
        <v>10</v>
      </c>
      <c r="H33" s="4">
        <v>195</v>
      </c>
      <c r="I33" s="4">
        <v>176.29000000000002</v>
      </c>
      <c r="J33" s="60">
        <f t="shared" si="13"/>
        <v>0.90405128205128216</v>
      </c>
      <c r="K33" s="4">
        <v>15</v>
      </c>
      <c r="L33" s="4">
        <v>1580</v>
      </c>
      <c r="M33" s="4">
        <v>2325</v>
      </c>
      <c r="N33" s="60">
        <f t="shared" si="3"/>
        <v>1.2271518987341772</v>
      </c>
      <c r="O33" s="4">
        <v>5</v>
      </c>
      <c r="P33" s="24">
        <f t="shared" si="4"/>
        <v>0.98988429081467055</v>
      </c>
      <c r="Q33" s="48">
        <v>52869</v>
      </c>
      <c r="R33" s="19">
        <f t="shared" si="5"/>
        <v>28837.599999999999</v>
      </c>
      <c r="S33" s="19">
        <f t="shared" si="14"/>
        <v>28545.9</v>
      </c>
      <c r="T33" s="19">
        <f t="shared" si="15"/>
        <v>-291.69999999999709</v>
      </c>
      <c r="U33" s="19">
        <v>69.2</v>
      </c>
      <c r="V33" s="19">
        <f t="shared" si="8"/>
        <v>28476.7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f t="shared" si="9"/>
        <v>4723</v>
      </c>
      <c r="AE33" s="41"/>
      <c r="AF33" s="41"/>
      <c r="AG33" s="42"/>
      <c r="AH33" s="19">
        <f t="shared" si="10"/>
        <v>4723</v>
      </c>
      <c r="AI33" s="36"/>
      <c r="AJ33" s="36"/>
      <c r="AK33" s="36"/>
      <c r="AL33" s="36"/>
      <c r="AM33" s="36"/>
      <c r="AN33" s="36"/>
      <c r="AO33" s="1"/>
    </row>
    <row r="34" spans="1:41" s="2" customFormat="1" ht="17.100000000000001" customHeight="1">
      <c r="A34" s="6" t="s">
        <v>31</v>
      </c>
      <c r="B34" s="4">
        <v>1</v>
      </c>
      <c r="C34" s="4">
        <v>10</v>
      </c>
      <c r="D34" s="4" t="s">
        <v>72</v>
      </c>
      <c r="E34" s="4" t="s">
        <v>72</v>
      </c>
      <c r="F34" s="4" t="s">
        <v>72</v>
      </c>
      <c r="G34" s="4">
        <v>10</v>
      </c>
      <c r="H34" s="4">
        <v>195</v>
      </c>
      <c r="I34" s="4">
        <v>194.94</v>
      </c>
      <c r="J34" s="60">
        <f t="shared" si="13"/>
        <v>0.99969230769230766</v>
      </c>
      <c r="K34" s="4">
        <v>15</v>
      </c>
      <c r="L34" s="4">
        <v>1287</v>
      </c>
      <c r="M34" s="4">
        <v>1885</v>
      </c>
      <c r="N34" s="60">
        <f t="shared" si="3"/>
        <v>1.2264646464646465</v>
      </c>
      <c r="O34" s="4">
        <v>5</v>
      </c>
      <c r="P34" s="24">
        <f t="shared" si="4"/>
        <v>1.0375902615902615</v>
      </c>
      <c r="Q34" s="48">
        <v>48805</v>
      </c>
      <c r="R34" s="19">
        <f t="shared" si="5"/>
        <v>26620.9</v>
      </c>
      <c r="S34" s="19">
        <f t="shared" si="14"/>
        <v>27621.599999999999</v>
      </c>
      <c r="T34" s="19">
        <f t="shared" si="15"/>
        <v>1000.6999999999971</v>
      </c>
      <c r="U34" s="19">
        <v>580.5</v>
      </c>
      <c r="V34" s="19">
        <f t="shared" si="8"/>
        <v>27041.1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f t="shared" si="9"/>
        <v>4313.3</v>
      </c>
      <c r="AE34" s="41"/>
      <c r="AF34" s="41"/>
      <c r="AG34" s="42"/>
      <c r="AH34" s="19">
        <f t="shared" si="10"/>
        <v>4313.3</v>
      </c>
      <c r="AI34" s="36"/>
      <c r="AJ34" s="36"/>
      <c r="AK34" s="36"/>
      <c r="AL34" s="36"/>
      <c r="AM34" s="36"/>
      <c r="AN34" s="36"/>
    </row>
    <row r="35" spans="1:41" s="2" customFormat="1" ht="17.100000000000001" customHeight="1">
      <c r="A35" s="6" t="s">
        <v>1</v>
      </c>
      <c r="B35" s="4">
        <v>1</v>
      </c>
      <c r="C35" s="4">
        <v>10</v>
      </c>
      <c r="D35" s="4" t="s">
        <v>72</v>
      </c>
      <c r="E35" s="4" t="s">
        <v>72</v>
      </c>
      <c r="F35" s="4" t="s">
        <v>72</v>
      </c>
      <c r="G35" s="4">
        <v>10</v>
      </c>
      <c r="H35" s="4">
        <v>190</v>
      </c>
      <c r="I35" s="4">
        <v>180.8</v>
      </c>
      <c r="J35" s="60">
        <f t="shared" si="13"/>
        <v>0.95157894736842108</v>
      </c>
      <c r="K35" s="4">
        <v>15</v>
      </c>
      <c r="L35" s="4">
        <v>24809</v>
      </c>
      <c r="M35" s="4">
        <v>56422</v>
      </c>
      <c r="N35" s="60">
        <f t="shared" si="3"/>
        <v>1.3</v>
      </c>
      <c r="O35" s="4">
        <v>5</v>
      </c>
      <c r="P35" s="24">
        <f t="shared" si="4"/>
        <v>1.0257894736842106</v>
      </c>
      <c r="Q35" s="48">
        <v>65004</v>
      </c>
      <c r="R35" s="19">
        <f t="shared" si="5"/>
        <v>35456.699999999997</v>
      </c>
      <c r="S35" s="19">
        <f t="shared" si="14"/>
        <v>36371.1</v>
      </c>
      <c r="T35" s="19">
        <f t="shared" si="15"/>
        <v>914.40000000000146</v>
      </c>
      <c r="U35" s="19">
        <v>669.5</v>
      </c>
      <c r="V35" s="19">
        <f t="shared" si="8"/>
        <v>35701.599999999999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f t="shared" si="9"/>
        <v>5727.1</v>
      </c>
      <c r="AE35" s="41"/>
      <c r="AF35" s="41"/>
      <c r="AG35" s="42"/>
      <c r="AH35" s="19">
        <f t="shared" si="10"/>
        <v>5727.1</v>
      </c>
      <c r="AI35" s="36"/>
      <c r="AJ35" s="36"/>
      <c r="AK35" s="36"/>
      <c r="AL35" s="36"/>
      <c r="AM35" s="36"/>
      <c r="AN35" s="36"/>
      <c r="AO35" s="1"/>
    </row>
    <row r="36" spans="1:41" s="2" customFormat="1" ht="17.100000000000001" customHeight="1">
      <c r="A36" s="6" t="s">
        <v>32</v>
      </c>
      <c r="B36" s="4">
        <v>1</v>
      </c>
      <c r="C36" s="4">
        <v>10</v>
      </c>
      <c r="D36" s="4" t="s">
        <v>72</v>
      </c>
      <c r="E36" s="4" t="s">
        <v>72</v>
      </c>
      <c r="F36" s="4" t="s">
        <v>72</v>
      </c>
      <c r="G36" s="4">
        <v>10</v>
      </c>
      <c r="H36" s="4">
        <v>190</v>
      </c>
      <c r="I36" s="4">
        <v>186.74</v>
      </c>
      <c r="J36" s="60">
        <f t="shared" si="13"/>
        <v>0.98284210526315796</v>
      </c>
      <c r="K36" s="4">
        <v>15</v>
      </c>
      <c r="L36" s="4">
        <v>2084</v>
      </c>
      <c r="M36" s="4">
        <v>2456</v>
      </c>
      <c r="N36" s="60">
        <f t="shared" si="3"/>
        <v>1.1785028790786949</v>
      </c>
      <c r="O36" s="4">
        <v>5</v>
      </c>
      <c r="P36" s="24">
        <f t="shared" si="4"/>
        <v>1.0211715324780282</v>
      </c>
      <c r="Q36" s="48">
        <v>56653</v>
      </c>
      <c r="R36" s="19">
        <f t="shared" si="5"/>
        <v>30901.599999999999</v>
      </c>
      <c r="S36" s="19">
        <f t="shared" si="14"/>
        <v>31555.8</v>
      </c>
      <c r="T36" s="19">
        <f t="shared" si="15"/>
        <v>654.20000000000073</v>
      </c>
      <c r="U36" s="19">
        <v>0</v>
      </c>
      <c r="V36" s="19">
        <f t="shared" si="8"/>
        <v>31555.8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f t="shared" si="9"/>
        <v>5259.2</v>
      </c>
      <c r="AE36" s="41"/>
      <c r="AF36" s="41"/>
      <c r="AG36" s="42"/>
      <c r="AH36" s="19">
        <f t="shared" si="10"/>
        <v>5259.2</v>
      </c>
      <c r="AI36" s="36"/>
      <c r="AJ36" s="36"/>
      <c r="AK36" s="36"/>
      <c r="AL36" s="36"/>
      <c r="AM36" s="36"/>
      <c r="AN36" s="36"/>
      <c r="AO36" s="1"/>
    </row>
    <row r="37" spans="1:41" s="2" customFormat="1" ht="17.100000000000001" customHeight="1">
      <c r="A37" s="6" t="s">
        <v>33</v>
      </c>
      <c r="B37" s="4">
        <v>1</v>
      </c>
      <c r="C37" s="4">
        <v>10</v>
      </c>
      <c r="D37" s="4" t="s">
        <v>72</v>
      </c>
      <c r="E37" s="4" t="s">
        <v>72</v>
      </c>
      <c r="F37" s="4" t="s">
        <v>72</v>
      </c>
      <c r="G37" s="4">
        <v>10</v>
      </c>
      <c r="H37" s="4">
        <v>180</v>
      </c>
      <c r="I37" s="4">
        <v>125.3</v>
      </c>
      <c r="J37" s="60">
        <f t="shared" si="13"/>
        <v>0.69611111111111112</v>
      </c>
      <c r="K37" s="4">
        <v>15</v>
      </c>
      <c r="L37" s="4">
        <v>806</v>
      </c>
      <c r="M37" s="4">
        <v>1336</v>
      </c>
      <c r="N37" s="60">
        <f t="shared" si="3"/>
        <v>1.2457568238213399</v>
      </c>
      <c r="O37" s="4">
        <v>5</v>
      </c>
      <c r="P37" s="24">
        <f t="shared" si="4"/>
        <v>0.88901502619244555</v>
      </c>
      <c r="Q37" s="48">
        <v>31485</v>
      </c>
      <c r="R37" s="19">
        <f t="shared" si="5"/>
        <v>17173.599999999999</v>
      </c>
      <c r="S37" s="19">
        <f t="shared" si="14"/>
        <v>15267.6</v>
      </c>
      <c r="T37" s="19">
        <f t="shared" si="15"/>
        <v>-1905.9999999999982</v>
      </c>
      <c r="U37" s="19">
        <v>563.79999999999995</v>
      </c>
      <c r="V37" s="19">
        <f t="shared" si="8"/>
        <v>14703.800000000001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f t="shared" si="9"/>
        <v>2262.6999999999998</v>
      </c>
      <c r="AE37" s="41"/>
      <c r="AF37" s="41"/>
      <c r="AG37" s="42"/>
      <c r="AH37" s="19">
        <f t="shared" si="10"/>
        <v>2262.6999999999998</v>
      </c>
      <c r="AI37" s="36"/>
      <c r="AJ37" s="36"/>
      <c r="AK37" s="36"/>
      <c r="AL37" s="36"/>
      <c r="AM37" s="36"/>
      <c r="AN37" s="36"/>
      <c r="AO37" s="1"/>
    </row>
    <row r="38" spans="1:41" s="2" customFormat="1" ht="17.100000000000001" customHeight="1">
      <c r="A38" s="6" t="s">
        <v>34</v>
      </c>
      <c r="B38" s="4">
        <v>1</v>
      </c>
      <c r="C38" s="4">
        <v>10</v>
      </c>
      <c r="D38" s="4" t="s">
        <v>72</v>
      </c>
      <c r="E38" s="4" t="s">
        <v>72</v>
      </c>
      <c r="F38" s="4" t="s">
        <v>72</v>
      </c>
      <c r="G38" s="4">
        <v>10</v>
      </c>
      <c r="H38" s="4">
        <v>190</v>
      </c>
      <c r="I38" s="4">
        <v>186.32</v>
      </c>
      <c r="J38" s="60">
        <f t="shared" si="13"/>
        <v>0.98063157894736841</v>
      </c>
      <c r="K38" s="4">
        <v>15</v>
      </c>
      <c r="L38" s="4">
        <v>4429</v>
      </c>
      <c r="M38" s="4">
        <v>2362</v>
      </c>
      <c r="N38" s="60">
        <f t="shared" si="3"/>
        <v>0.53330322871980129</v>
      </c>
      <c r="O38" s="4">
        <v>5</v>
      </c>
      <c r="P38" s="24">
        <f t="shared" si="4"/>
        <v>0.91253299426031775</v>
      </c>
      <c r="Q38" s="48">
        <v>73745</v>
      </c>
      <c r="R38" s="19">
        <f t="shared" si="5"/>
        <v>40224.5</v>
      </c>
      <c r="S38" s="19">
        <f t="shared" si="14"/>
        <v>36706.199999999997</v>
      </c>
      <c r="T38" s="19">
        <f t="shared" si="15"/>
        <v>-3518.3000000000029</v>
      </c>
      <c r="U38" s="19">
        <v>1099.9000000000001</v>
      </c>
      <c r="V38" s="19">
        <f t="shared" si="8"/>
        <v>35606.299999999996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f t="shared" si="9"/>
        <v>5567.7</v>
      </c>
      <c r="AE38" s="42"/>
      <c r="AF38" s="41"/>
      <c r="AG38" s="42"/>
      <c r="AH38" s="19">
        <f t="shared" si="10"/>
        <v>5567.7</v>
      </c>
      <c r="AI38" s="36"/>
      <c r="AJ38" s="36"/>
      <c r="AK38" s="36"/>
      <c r="AL38" s="36"/>
      <c r="AM38" s="36"/>
      <c r="AN38" s="36"/>
      <c r="AO38" s="1"/>
    </row>
    <row r="39" spans="1:41" s="2" customFormat="1" ht="17.100000000000001" customHeight="1">
      <c r="A39" s="6" t="s">
        <v>35</v>
      </c>
      <c r="B39" s="4">
        <v>1</v>
      </c>
      <c r="C39" s="4">
        <v>10</v>
      </c>
      <c r="D39" s="4" t="s">
        <v>72</v>
      </c>
      <c r="E39" s="4" t="s">
        <v>72</v>
      </c>
      <c r="F39" s="4" t="s">
        <v>72</v>
      </c>
      <c r="G39" s="4">
        <v>10</v>
      </c>
      <c r="H39" s="4">
        <v>195</v>
      </c>
      <c r="I39" s="4">
        <v>197.7</v>
      </c>
      <c r="J39" s="60">
        <f t="shared" si="13"/>
        <v>1.0138461538461538</v>
      </c>
      <c r="K39" s="4">
        <v>15</v>
      </c>
      <c r="L39" s="4">
        <v>1453</v>
      </c>
      <c r="M39" s="4">
        <v>1495</v>
      </c>
      <c r="N39" s="60">
        <f t="shared" si="3"/>
        <v>1.0289057123193392</v>
      </c>
      <c r="O39" s="4">
        <v>5</v>
      </c>
      <c r="P39" s="24">
        <f t="shared" si="4"/>
        <v>1.0117406956429666</v>
      </c>
      <c r="Q39" s="48">
        <v>58006</v>
      </c>
      <c r="R39" s="19">
        <f t="shared" si="5"/>
        <v>31639.599999999999</v>
      </c>
      <c r="S39" s="19">
        <f t="shared" si="14"/>
        <v>32011.1</v>
      </c>
      <c r="T39" s="19">
        <f t="shared" si="15"/>
        <v>371.5</v>
      </c>
      <c r="U39" s="19">
        <v>0</v>
      </c>
      <c r="V39" s="19">
        <f t="shared" si="8"/>
        <v>32011.1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f t="shared" si="9"/>
        <v>5335.1</v>
      </c>
      <c r="AE39" s="41"/>
      <c r="AF39" s="41"/>
      <c r="AG39" s="42"/>
      <c r="AH39" s="19">
        <f t="shared" si="10"/>
        <v>5335.1</v>
      </c>
      <c r="AI39" s="36"/>
      <c r="AJ39" s="36"/>
      <c r="AK39" s="36"/>
      <c r="AL39" s="36"/>
      <c r="AM39" s="36"/>
      <c r="AN39" s="36"/>
      <c r="AO39" s="1"/>
    </row>
    <row r="40" spans="1:41" s="2" customFormat="1" ht="17.100000000000001" customHeight="1">
      <c r="A40" s="6" t="s">
        <v>36</v>
      </c>
      <c r="B40" s="4">
        <v>1</v>
      </c>
      <c r="C40" s="4">
        <v>10</v>
      </c>
      <c r="D40" s="4" t="s">
        <v>72</v>
      </c>
      <c r="E40" s="4" t="s">
        <v>72</v>
      </c>
      <c r="F40" s="4" t="s">
        <v>72</v>
      </c>
      <c r="G40" s="4">
        <v>10</v>
      </c>
      <c r="H40" s="4">
        <v>190</v>
      </c>
      <c r="I40" s="4">
        <v>194.01</v>
      </c>
      <c r="J40" s="60">
        <f t="shared" si="13"/>
        <v>1.0211052631578947</v>
      </c>
      <c r="K40" s="4">
        <v>15</v>
      </c>
      <c r="L40" s="4">
        <v>4075</v>
      </c>
      <c r="M40" s="4">
        <v>5047</v>
      </c>
      <c r="N40" s="60">
        <f t="shared" si="3"/>
        <v>1.2038527607361962</v>
      </c>
      <c r="O40" s="4">
        <v>5</v>
      </c>
      <c r="P40" s="24">
        <f t="shared" si="4"/>
        <v>1.0445280917016466</v>
      </c>
      <c r="Q40" s="48">
        <v>62185</v>
      </c>
      <c r="R40" s="19">
        <f t="shared" si="5"/>
        <v>33919.1</v>
      </c>
      <c r="S40" s="19">
        <f t="shared" si="14"/>
        <v>35429.5</v>
      </c>
      <c r="T40" s="19">
        <f t="shared" si="15"/>
        <v>1510.4000000000015</v>
      </c>
      <c r="U40" s="19">
        <v>2105.3000000000002</v>
      </c>
      <c r="V40" s="19">
        <f t="shared" si="8"/>
        <v>33324.199999999997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f t="shared" si="9"/>
        <v>4852.3</v>
      </c>
      <c r="AE40" s="41"/>
      <c r="AF40" s="41"/>
      <c r="AG40" s="42"/>
      <c r="AH40" s="19">
        <f t="shared" si="10"/>
        <v>4852.3</v>
      </c>
      <c r="AI40" s="36"/>
      <c r="AJ40" s="36"/>
      <c r="AK40" s="36"/>
      <c r="AL40" s="36"/>
      <c r="AM40" s="36"/>
      <c r="AN40" s="36"/>
      <c r="AO40" s="1"/>
    </row>
    <row r="41" spans="1:41" s="2" customFormat="1" ht="17.100000000000001" customHeight="1">
      <c r="A41" s="6" t="s">
        <v>37</v>
      </c>
      <c r="B41" s="4">
        <v>1</v>
      </c>
      <c r="C41" s="4">
        <v>10</v>
      </c>
      <c r="D41" s="4" t="s">
        <v>72</v>
      </c>
      <c r="E41" s="4" t="s">
        <v>72</v>
      </c>
      <c r="F41" s="4" t="s">
        <v>72</v>
      </c>
      <c r="G41" s="4">
        <v>10</v>
      </c>
      <c r="H41" s="4">
        <v>180</v>
      </c>
      <c r="I41" s="4">
        <v>169.49</v>
      </c>
      <c r="J41" s="60">
        <f t="shared" si="13"/>
        <v>0.94161111111111118</v>
      </c>
      <c r="K41" s="4">
        <v>15</v>
      </c>
      <c r="L41" s="4">
        <v>37946</v>
      </c>
      <c r="M41" s="4">
        <v>82777</v>
      </c>
      <c r="N41" s="60">
        <f t="shared" si="3"/>
        <v>1.2981442049227849</v>
      </c>
      <c r="O41" s="4">
        <v>5</v>
      </c>
      <c r="P41" s="24">
        <f t="shared" si="4"/>
        <v>1.0204962563760198</v>
      </c>
      <c r="Q41" s="48">
        <v>90369</v>
      </c>
      <c r="R41" s="19">
        <f t="shared" si="5"/>
        <v>49292.2</v>
      </c>
      <c r="S41" s="19">
        <f t="shared" si="14"/>
        <v>50302.5</v>
      </c>
      <c r="T41" s="19">
        <f t="shared" si="15"/>
        <v>1010.3000000000029</v>
      </c>
      <c r="U41" s="19">
        <v>0</v>
      </c>
      <c r="V41" s="19">
        <f t="shared" si="8"/>
        <v>50302.5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f t="shared" si="9"/>
        <v>8383.7999999999993</v>
      </c>
      <c r="AE41" s="41"/>
      <c r="AF41" s="41"/>
      <c r="AG41" s="42"/>
      <c r="AH41" s="19">
        <f t="shared" si="10"/>
        <v>8383.7999999999993</v>
      </c>
      <c r="AI41" s="36"/>
      <c r="AJ41" s="36"/>
      <c r="AK41" s="36"/>
      <c r="AL41" s="36"/>
      <c r="AM41" s="36"/>
      <c r="AN41" s="36"/>
      <c r="AO41" s="1"/>
    </row>
    <row r="42" spans="1:41" s="2" customFormat="1" ht="17.100000000000001" customHeight="1">
      <c r="A42" s="6" t="s">
        <v>38</v>
      </c>
      <c r="B42" s="4">
        <v>1</v>
      </c>
      <c r="C42" s="4">
        <v>10</v>
      </c>
      <c r="D42" s="4" t="s">
        <v>72</v>
      </c>
      <c r="E42" s="4" t="s">
        <v>72</v>
      </c>
      <c r="F42" s="4" t="s">
        <v>72</v>
      </c>
      <c r="G42" s="4">
        <v>10</v>
      </c>
      <c r="H42" s="4">
        <v>195</v>
      </c>
      <c r="I42" s="4">
        <v>195.43</v>
      </c>
      <c r="J42" s="60">
        <f t="shared" si="13"/>
        <v>1.0022051282051283</v>
      </c>
      <c r="K42" s="4">
        <v>15</v>
      </c>
      <c r="L42" s="4">
        <v>3306</v>
      </c>
      <c r="M42" s="4">
        <v>5506</v>
      </c>
      <c r="N42" s="60">
        <f t="shared" si="3"/>
        <v>1.2465456745311554</v>
      </c>
      <c r="O42" s="4">
        <v>5</v>
      </c>
      <c r="P42" s="24">
        <f t="shared" si="4"/>
        <v>1.0421935098577568</v>
      </c>
      <c r="Q42" s="48">
        <v>48981</v>
      </c>
      <c r="R42" s="19">
        <f t="shared" si="5"/>
        <v>26716.9</v>
      </c>
      <c r="S42" s="19">
        <f t="shared" si="14"/>
        <v>27844.2</v>
      </c>
      <c r="T42" s="19">
        <f t="shared" si="15"/>
        <v>1127.2999999999993</v>
      </c>
      <c r="U42" s="19">
        <v>136.69999999999999</v>
      </c>
      <c r="V42" s="19">
        <f t="shared" si="8"/>
        <v>27707.5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f t="shared" si="9"/>
        <v>4572.3</v>
      </c>
      <c r="AE42" s="42"/>
      <c r="AF42" s="41"/>
      <c r="AG42" s="42"/>
      <c r="AH42" s="19">
        <f t="shared" si="10"/>
        <v>4572.3</v>
      </c>
      <c r="AI42" s="36"/>
      <c r="AJ42" s="36"/>
      <c r="AK42" s="36"/>
      <c r="AL42" s="36"/>
      <c r="AM42" s="36"/>
      <c r="AN42" s="36"/>
      <c r="AO42" s="1"/>
    </row>
    <row r="43" spans="1:41" s="2" customFormat="1" ht="17.100000000000001" customHeight="1">
      <c r="A43" s="6" t="s">
        <v>2</v>
      </c>
      <c r="B43" s="4">
        <v>1</v>
      </c>
      <c r="C43" s="4">
        <v>10</v>
      </c>
      <c r="D43" s="4" t="s">
        <v>72</v>
      </c>
      <c r="E43" s="4" t="s">
        <v>72</v>
      </c>
      <c r="F43" s="4" t="s">
        <v>72</v>
      </c>
      <c r="G43" s="4">
        <v>10</v>
      </c>
      <c r="H43" s="4">
        <v>195</v>
      </c>
      <c r="I43" s="4">
        <v>196.05</v>
      </c>
      <c r="J43" s="60">
        <f t="shared" si="13"/>
        <v>1.0053846153846155</v>
      </c>
      <c r="K43" s="4">
        <v>15</v>
      </c>
      <c r="L43" s="4">
        <v>705</v>
      </c>
      <c r="M43" s="4">
        <v>583</v>
      </c>
      <c r="N43" s="60">
        <f t="shared" si="3"/>
        <v>0.82695035460992905</v>
      </c>
      <c r="O43" s="4">
        <v>5</v>
      </c>
      <c r="P43" s="24">
        <f t="shared" si="4"/>
        <v>0.97385070012729591</v>
      </c>
      <c r="Q43" s="48">
        <v>48297</v>
      </c>
      <c r="R43" s="19">
        <f t="shared" si="5"/>
        <v>26343.8</v>
      </c>
      <c r="S43" s="19">
        <f t="shared" si="14"/>
        <v>25654.9</v>
      </c>
      <c r="T43" s="19">
        <f t="shared" si="15"/>
        <v>-688.89999999999782</v>
      </c>
      <c r="U43" s="19">
        <v>124.6</v>
      </c>
      <c r="V43" s="19">
        <f t="shared" si="8"/>
        <v>25530.300000000003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f t="shared" si="9"/>
        <v>4213.5</v>
      </c>
      <c r="AE43" s="42"/>
      <c r="AF43" s="41"/>
      <c r="AG43" s="42"/>
      <c r="AH43" s="19">
        <f t="shared" si="10"/>
        <v>4213.5</v>
      </c>
      <c r="AI43" s="36"/>
      <c r="AJ43" s="36"/>
      <c r="AK43" s="36"/>
      <c r="AL43" s="36"/>
      <c r="AM43" s="36"/>
      <c r="AN43" s="36"/>
      <c r="AO43" s="1"/>
    </row>
    <row r="44" spans="1:41" s="2" customFormat="1" ht="17.100000000000001" customHeight="1">
      <c r="A44" s="6" t="s">
        <v>39</v>
      </c>
      <c r="B44" s="4">
        <v>1</v>
      </c>
      <c r="C44" s="4">
        <v>10</v>
      </c>
      <c r="D44" s="4" t="s">
        <v>72</v>
      </c>
      <c r="E44" s="4" t="s">
        <v>72</v>
      </c>
      <c r="F44" s="4" t="s">
        <v>72</v>
      </c>
      <c r="G44" s="4">
        <v>10</v>
      </c>
      <c r="H44" s="4">
        <v>195</v>
      </c>
      <c r="I44" s="4">
        <v>191.68</v>
      </c>
      <c r="J44" s="60">
        <f t="shared" si="13"/>
        <v>0.98297435897435903</v>
      </c>
      <c r="K44" s="4">
        <v>15</v>
      </c>
      <c r="L44" s="4">
        <v>824</v>
      </c>
      <c r="M44" s="4">
        <v>1873</v>
      </c>
      <c r="N44" s="60">
        <f t="shared" si="3"/>
        <v>1.3</v>
      </c>
      <c r="O44" s="4">
        <v>5</v>
      </c>
      <c r="P44" s="24">
        <f t="shared" si="4"/>
        <v>1.0414871794871796</v>
      </c>
      <c r="Q44" s="48">
        <v>39783</v>
      </c>
      <c r="R44" s="19">
        <f t="shared" si="5"/>
        <v>21699.8</v>
      </c>
      <c r="S44" s="19">
        <f t="shared" si="14"/>
        <v>22600.1</v>
      </c>
      <c r="T44" s="19">
        <f t="shared" si="15"/>
        <v>900.29999999999927</v>
      </c>
      <c r="U44" s="19">
        <v>519.4</v>
      </c>
      <c r="V44" s="19">
        <f t="shared" si="8"/>
        <v>22080.699999999997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f t="shared" si="9"/>
        <v>3507</v>
      </c>
      <c r="AE44" s="42"/>
      <c r="AF44" s="41"/>
      <c r="AG44" s="42"/>
      <c r="AH44" s="19">
        <f t="shared" si="10"/>
        <v>3507</v>
      </c>
      <c r="AI44" s="36"/>
      <c r="AJ44" s="36"/>
      <c r="AK44" s="36"/>
      <c r="AL44" s="36"/>
      <c r="AM44" s="36"/>
      <c r="AN44" s="36"/>
      <c r="AO44" s="1"/>
    </row>
    <row r="45" spans="1:41" s="2" customFormat="1" ht="17.100000000000001" customHeight="1">
      <c r="A45" s="6" t="s">
        <v>3</v>
      </c>
      <c r="B45" s="4">
        <v>1</v>
      </c>
      <c r="C45" s="4">
        <v>10</v>
      </c>
      <c r="D45" s="4" t="s">
        <v>72</v>
      </c>
      <c r="E45" s="4" t="s">
        <v>72</v>
      </c>
      <c r="F45" s="4" t="s">
        <v>72</v>
      </c>
      <c r="G45" s="4">
        <v>10</v>
      </c>
      <c r="H45" s="4">
        <v>180</v>
      </c>
      <c r="I45" s="4">
        <v>179.76</v>
      </c>
      <c r="J45" s="60">
        <f t="shared" si="13"/>
        <v>0.99866666666666659</v>
      </c>
      <c r="K45" s="4">
        <v>15</v>
      </c>
      <c r="L45" s="4">
        <v>1147</v>
      </c>
      <c r="M45" s="4">
        <v>1187</v>
      </c>
      <c r="N45" s="60">
        <f t="shared" si="3"/>
        <v>1.0348735832606801</v>
      </c>
      <c r="O45" s="4">
        <v>5</v>
      </c>
      <c r="P45" s="24">
        <f t="shared" si="4"/>
        <v>1.0051455972101133</v>
      </c>
      <c r="Q45" s="48">
        <v>40330</v>
      </c>
      <c r="R45" s="19">
        <f t="shared" si="5"/>
        <v>21998.2</v>
      </c>
      <c r="S45" s="19">
        <f t="shared" si="14"/>
        <v>22111.4</v>
      </c>
      <c r="T45" s="19">
        <f t="shared" si="15"/>
        <v>113.20000000000073</v>
      </c>
      <c r="U45" s="19">
        <v>510.1</v>
      </c>
      <c r="V45" s="19">
        <f t="shared" si="8"/>
        <v>21601.300000000003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f t="shared" si="9"/>
        <v>3430.2</v>
      </c>
      <c r="AE45" s="42"/>
      <c r="AF45" s="41"/>
      <c r="AG45" s="42"/>
      <c r="AH45" s="19">
        <f t="shared" si="10"/>
        <v>3430.2</v>
      </c>
      <c r="AI45" s="36"/>
      <c r="AJ45" s="36"/>
      <c r="AK45" s="36"/>
      <c r="AL45" s="36"/>
      <c r="AM45" s="36"/>
      <c r="AN45" s="36"/>
      <c r="AO45" s="1"/>
    </row>
    <row r="46" spans="1:41" s="2" customFormat="1" ht="17.100000000000001" customHeight="1">
      <c r="A46" s="6" t="s">
        <v>40</v>
      </c>
      <c r="B46" s="4">
        <v>1</v>
      </c>
      <c r="C46" s="4">
        <v>10</v>
      </c>
      <c r="D46" s="4" t="s">
        <v>72</v>
      </c>
      <c r="E46" s="4" t="s">
        <v>72</v>
      </c>
      <c r="F46" s="4" t="s">
        <v>72</v>
      </c>
      <c r="G46" s="4">
        <v>10</v>
      </c>
      <c r="H46" s="4">
        <v>190</v>
      </c>
      <c r="I46" s="4">
        <v>181.51999999999998</v>
      </c>
      <c r="J46" s="60">
        <f t="shared" si="13"/>
        <v>0.95536842105263153</v>
      </c>
      <c r="K46" s="4">
        <v>15</v>
      </c>
      <c r="L46" s="4">
        <v>2767</v>
      </c>
      <c r="M46" s="4">
        <v>2519</v>
      </c>
      <c r="N46" s="60">
        <f>IF(O46=0,0,IF(L46=0,1,IF(M46&lt;0,0,IF(M46/L46&gt;1.2,IF((M46/L46-1.2)*0.1+1.2&gt;1.3,1.3,(M46/L46-1.2)*0.1+1.2),M46/L46))))</f>
        <v>0.91037224430791475</v>
      </c>
      <c r="O46" s="4">
        <v>5</v>
      </c>
      <c r="P46" s="24">
        <f>(B46*C46+J46*K46+N46*O46)/(C46+K46+O46)</f>
        <v>0.96274625124430158</v>
      </c>
      <c r="Q46" s="48">
        <v>67637</v>
      </c>
      <c r="R46" s="19">
        <f>ROUND(Q46/11*6,1)</f>
        <v>36892.9</v>
      </c>
      <c r="S46" s="19">
        <f>ROUND(P46*R46,1)</f>
        <v>35518.5</v>
      </c>
      <c r="T46" s="19">
        <f>S46-R46</f>
        <v>-1374.4000000000015</v>
      </c>
      <c r="U46" s="19">
        <v>800.3</v>
      </c>
      <c r="V46" s="19">
        <f>S46-U46</f>
        <v>34718.199999999997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f t="shared" si="9"/>
        <v>5519.6</v>
      </c>
      <c r="AE46" s="41"/>
      <c r="AF46" s="41"/>
      <c r="AG46" s="42"/>
      <c r="AH46" s="19">
        <f t="shared" si="10"/>
        <v>5519.6</v>
      </c>
      <c r="AI46" s="36"/>
      <c r="AJ46" s="36"/>
      <c r="AK46" s="36"/>
      <c r="AL46" s="36"/>
      <c r="AM46" s="36"/>
      <c r="AN46" s="36"/>
      <c r="AO46" s="1"/>
    </row>
    <row r="47" spans="1:41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563153</v>
      </c>
      <c r="M47" s="37">
        <f>M8+M19</f>
        <v>587111</v>
      </c>
      <c r="N47" s="53">
        <f>IF(M47/L47&gt;1.2,IF((M47/L47-1.2)*0.1+1.2&gt;1.3,1.3,(M47/L47-1.2)*0.1+1.2),M47/L47)</f>
        <v>1.0425426127535502</v>
      </c>
      <c r="O47" s="21"/>
      <c r="P47" s="47">
        <f>S47/R47</f>
        <v>0.94240996014183565</v>
      </c>
      <c r="Q47" s="46">
        <f>Q8+Q19</f>
        <v>3329728</v>
      </c>
      <c r="R47" s="23">
        <f t="shared" ref="R47" si="16">R8+R19</f>
        <v>1816215.0999999999</v>
      </c>
      <c r="S47" s="23">
        <f>S8+S19</f>
        <v>1711619.2</v>
      </c>
      <c r="T47" s="23">
        <f>T8+T19</f>
        <v>-104595.89999999995</v>
      </c>
      <c r="U47" s="23">
        <f t="shared" ref="U47:V47" si="17">U8+U19</f>
        <v>37302.000000000007</v>
      </c>
      <c r="V47" s="23">
        <f t="shared" si="17"/>
        <v>1674317.1999999997</v>
      </c>
      <c r="W47" s="23">
        <f>W8+W19</f>
        <v>7282.6</v>
      </c>
      <c r="X47" s="23">
        <f t="shared" ref="X47:AC47" si="18">X8+X19</f>
        <v>298790</v>
      </c>
      <c r="Y47" s="23">
        <f t="shared" si="18"/>
        <v>12100</v>
      </c>
      <c r="Z47" s="23">
        <f t="shared" si="18"/>
        <v>293136.5</v>
      </c>
      <c r="AA47" s="23">
        <f t="shared" si="18"/>
        <v>297592.09999999998</v>
      </c>
      <c r="AB47" s="23">
        <f t="shared" si="18"/>
        <v>278631.59999999998</v>
      </c>
      <c r="AC47" s="23">
        <f t="shared" si="18"/>
        <v>242825.5</v>
      </c>
      <c r="AD47" s="23">
        <f>AD8+AD19</f>
        <v>243958.90000000002</v>
      </c>
      <c r="AE47" s="37">
        <f>COUNTIF(AE9:AE46,"+")</f>
        <v>0</v>
      </c>
      <c r="AF47" s="37">
        <f>COUNTIF(AF9:AF46,"+")</f>
        <v>0</v>
      </c>
      <c r="AG47" s="37">
        <f>COUNTIF(AG9:AG46,"+")</f>
        <v>0</v>
      </c>
      <c r="AH47" s="23">
        <f>AH8+AH19</f>
        <v>243958.90000000002</v>
      </c>
      <c r="AI47" s="36"/>
      <c r="AJ47" s="36"/>
      <c r="AK47" s="36"/>
      <c r="AL47" s="36"/>
      <c r="AM47" s="36"/>
      <c r="AN47" s="36"/>
      <c r="AO47" s="1"/>
    </row>
    <row r="48" spans="1:41" ht="21" customHeight="1"/>
    <row r="49" spans="1:34" ht="17.25" customHeight="1">
      <c r="A49" s="39" t="s">
        <v>50</v>
      </c>
      <c r="B49" s="38"/>
      <c r="C49" s="63" t="s">
        <v>52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44"/>
      <c r="AH49" s="44"/>
    </row>
    <row r="50" spans="1:34" ht="17.25" customHeight="1">
      <c r="B50" s="40" t="s">
        <v>51</v>
      </c>
      <c r="C50" s="63" t="s">
        <v>55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44"/>
      <c r="AH50" s="44"/>
    </row>
    <row r="52" spans="1:34" ht="15" customHeight="1"/>
  </sheetData>
  <mergeCells count="30">
    <mergeCell ref="AH3:AH6"/>
    <mergeCell ref="A3:A6"/>
    <mergeCell ref="Q3:Q6"/>
    <mergeCell ref="T3:T6"/>
    <mergeCell ref="S3:S6"/>
    <mergeCell ref="P3:P6"/>
    <mergeCell ref="R3:R6"/>
    <mergeCell ref="AE3:AG3"/>
    <mergeCell ref="AE4:AF4"/>
    <mergeCell ref="AG4:AG6"/>
    <mergeCell ref="B3:C5"/>
    <mergeCell ref="AD3:AD6"/>
    <mergeCell ref="Y5:Y6"/>
    <mergeCell ref="X5:X6"/>
    <mergeCell ref="AB5:AB6"/>
    <mergeCell ref="B1:Q1"/>
    <mergeCell ref="C49:AF49"/>
    <mergeCell ref="C50:AF50"/>
    <mergeCell ref="AE5:AE6"/>
    <mergeCell ref="AF5:AF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W3:AC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0" t="s">
        <v>92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77</v>
      </c>
      <c r="G3" s="86"/>
      <c r="H3" s="86"/>
      <c r="I3" s="85" t="s">
        <v>78</v>
      </c>
      <c r="J3" s="86"/>
      <c r="K3" s="86"/>
      <c r="L3" s="85" t="s">
        <v>79</v>
      </c>
      <c r="M3" s="86"/>
      <c r="N3" s="86"/>
      <c r="O3" s="83" t="s">
        <v>44</v>
      </c>
    </row>
    <row r="4" spans="1:15" ht="32.1" customHeight="1">
      <c r="A4" s="81"/>
      <c r="B4" s="82"/>
      <c r="C4" s="12" t="s">
        <v>42</v>
      </c>
      <c r="D4" s="12" t="s">
        <v>43</v>
      </c>
      <c r="E4" s="50" t="s">
        <v>80</v>
      </c>
      <c r="F4" s="12" t="s">
        <v>42</v>
      </c>
      <c r="G4" s="12" t="s">
        <v>43</v>
      </c>
      <c r="H4" s="54" t="s">
        <v>81</v>
      </c>
      <c r="I4" s="12" t="s">
        <v>42</v>
      </c>
      <c r="J4" s="12" t="s">
        <v>43</v>
      </c>
      <c r="K4" s="54" t="s">
        <v>82</v>
      </c>
      <c r="L4" s="12" t="s">
        <v>42</v>
      </c>
      <c r="M4" s="12" t="s">
        <v>43</v>
      </c>
      <c r="N4" s="54" t="s">
        <v>83</v>
      </c>
      <c r="O4" s="83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-103436.79999999996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-15634.002316492179</v>
      </c>
      <c r="L6" s="28"/>
      <c r="M6" s="28"/>
      <c r="N6" s="28">
        <f>SUM(N7:N16)</f>
        <v>-87802.797683507786</v>
      </c>
      <c r="O6" s="28"/>
    </row>
    <row r="7" spans="1:15" ht="15" customHeight="1">
      <c r="A7" s="15" t="s">
        <v>5</v>
      </c>
      <c r="B7" s="29">
        <f>'Расчет дотаций'!T9</f>
        <v>-26691.200000000012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72</v>
      </c>
      <c r="G7" s="4" t="s">
        <v>72</v>
      </c>
      <c r="H7" s="56" t="s">
        <v>72</v>
      </c>
      <c r="I7" s="33">
        <f>'Расчет дотаций'!J9-1</f>
        <v>-7.6333333333333364E-2</v>
      </c>
      <c r="J7" s="33">
        <f>I7*'Расчет дотаций'!K9</f>
        <v>-1.5266666666666673</v>
      </c>
      <c r="K7" s="32">
        <f>$B7*J7/$O7</f>
        <v>-9544.0499863915265</v>
      </c>
      <c r="L7" s="33">
        <f>'Расчет дотаций'!N9-1</f>
        <v>-0.18285725934961283</v>
      </c>
      <c r="M7" s="33">
        <f>L7*'Расчет дотаций'!O9</f>
        <v>-2.7428588902441926</v>
      </c>
      <c r="N7" s="32">
        <f>$B7*M7/$O7</f>
        <v>-17147.150013608483</v>
      </c>
      <c r="O7" s="31">
        <f>D7+J7+M7</f>
        <v>-4.2695255569108603</v>
      </c>
    </row>
    <row r="8" spans="1:15" ht="15" customHeight="1">
      <c r="A8" s="15" t="s">
        <v>6</v>
      </c>
      <c r="B8" s="29">
        <f>'Расчет дотаций'!T10</f>
        <v>-88480.599999999977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72</v>
      </c>
      <c r="G8" s="4" t="s">
        <v>72</v>
      </c>
      <c r="H8" s="56" t="s">
        <v>72</v>
      </c>
      <c r="I8" s="33">
        <f>'Расчет дотаций'!J10-1</f>
        <v>-4.6153846153844658E-3</v>
      </c>
      <c r="J8" s="33">
        <f>I8*'Расчет дотаций'!K10</f>
        <v>-9.2307692307689315E-2</v>
      </c>
      <c r="K8" s="32">
        <f t="shared" ref="K8:K44" si="1">$B8*J8/$O8</f>
        <v>-688.91777209400698</v>
      </c>
      <c r="L8" s="33">
        <f>'Расчет дотаций'!N10-1</f>
        <v>-0.7842104354133923</v>
      </c>
      <c r="M8" s="33">
        <f>L8*'Расчет дотаций'!O10</f>
        <v>-11.763156531200885</v>
      </c>
      <c r="N8" s="32">
        <f t="shared" ref="N8:N44" si="2">$B8*M8/$O8</f>
        <v>-87791.682227905971</v>
      </c>
      <c r="O8" s="31">
        <f t="shared" ref="O8:O44" si="3">D8+J8+M8</f>
        <v>-11.855464223508573</v>
      </c>
    </row>
    <row r="9" spans="1:15" ht="15" customHeight="1">
      <c r="A9" s="15" t="s">
        <v>7</v>
      </c>
      <c r="B9" s="29">
        <f>'Расчет дотаций'!T11</f>
        <v>493.69999999999709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72</v>
      </c>
      <c r="G9" s="4" t="s">
        <v>72</v>
      </c>
      <c r="H9" s="56" t="s">
        <v>72</v>
      </c>
      <c r="I9" s="33">
        <f>'Расчет дотаций'!J11-1</f>
        <v>-2.5230769230769279E-2</v>
      </c>
      <c r="J9" s="33">
        <f>I9*'Расчет дотаций'!K11</f>
        <v>-0.50461538461538558</v>
      </c>
      <c r="K9" s="32">
        <f t="shared" si="1"/>
        <v>-1230.7935450176885</v>
      </c>
      <c r="L9" s="33">
        <f>'Расчет дотаций'!N11-1</f>
        <v>4.7135225725358776E-2</v>
      </c>
      <c r="M9" s="33">
        <f>L9*'Расчет дотаций'!O11</f>
        <v>0.70702838588038164</v>
      </c>
      <c r="N9" s="32">
        <f t="shared" si="2"/>
        <v>1724.4935450176858</v>
      </c>
      <c r="O9" s="31">
        <f t="shared" si="3"/>
        <v>0.20241300126499606</v>
      </c>
    </row>
    <row r="10" spans="1:15" ht="15" customHeight="1">
      <c r="A10" s="15" t="s">
        <v>8</v>
      </c>
      <c r="B10" s="29">
        <f>'Расчет дотаций'!T12</f>
        <v>4190.8000000000029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72</v>
      </c>
      <c r="G10" s="4" t="s">
        <v>72</v>
      </c>
      <c r="H10" s="56" t="s">
        <v>72</v>
      </c>
      <c r="I10" s="33">
        <f>'Расчет дотаций'!J12-1</f>
        <v>-1.6769230769230647E-2</v>
      </c>
      <c r="J10" s="33">
        <f>I10*'Расчет дотаций'!K12</f>
        <v>-0.33538461538461295</v>
      </c>
      <c r="K10" s="32">
        <f t="shared" si="1"/>
        <v>-464.21351693225188</v>
      </c>
      <c r="L10" s="33">
        <f>'Расчет дотаций'!N12-1</f>
        <v>0.22421003281762775</v>
      </c>
      <c r="M10" s="33">
        <f>L10*'Расчет дотаций'!O12</f>
        <v>3.363150492264416</v>
      </c>
      <c r="N10" s="32">
        <f t="shared" si="2"/>
        <v>4655.0135169322548</v>
      </c>
      <c r="O10" s="31">
        <f t="shared" si="3"/>
        <v>3.027765876879803</v>
      </c>
    </row>
    <row r="11" spans="1:15" ht="15" customHeight="1">
      <c r="A11" s="15" t="s">
        <v>9</v>
      </c>
      <c r="B11" s="29">
        <f>'Расчет дотаций'!T13</f>
        <v>3497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72</v>
      </c>
      <c r="G11" s="4" t="s">
        <v>72</v>
      </c>
      <c r="H11" s="56" t="s">
        <v>72</v>
      </c>
      <c r="I11" s="33">
        <f>'Расчет дотаций'!J13-1</f>
        <v>-7.1722222222222243E-2</v>
      </c>
      <c r="J11" s="33">
        <f>I11*'Расчет дотаций'!K13</f>
        <v>-1.4344444444444449</v>
      </c>
      <c r="K11" s="32">
        <f t="shared" si="1"/>
        <v>-1636.3272924972816</v>
      </c>
      <c r="L11" s="33">
        <f>'Расчет дотаций'!N13-1</f>
        <v>0.30000000000000004</v>
      </c>
      <c r="M11" s="33">
        <f>L11*'Расчет дотаций'!O13</f>
        <v>4.5000000000000009</v>
      </c>
      <c r="N11" s="32">
        <f t="shared" si="2"/>
        <v>5133.3272924972816</v>
      </c>
      <c r="O11" s="31">
        <f t="shared" si="3"/>
        <v>3.065555555555556</v>
      </c>
    </row>
    <row r="12" spans="1:15" ht="15" customHeight="1">
      <c r="A12" s="15" t="s">
        <v>10</v>
      </c>
      <c r="B12" s="29">
        <f>'Расчет дотаций'!T14</f>
        <v>-2114.2000000000007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72</v>
      </c>
      <c r="G12" s="4" t="s">
        <v>72</v>
      </c>
      <c r="H12" s="56" t="s">
        <v>72</v>
      </c>
      <c r="I12" s="33">
        <f>'Расчет дотаций'!J14-1</f>
        <v>-4.9421052631578921E-2</v>
      </c>
      <c r="J12" s="33">
        <f>I12*'Расчет дотаций'!K14</f>
        <v>-0.98842105263157842</v>
      </c>
      <c r="K12" s="32">
        <f t="shared" si="1"/>
        <v>-659.16785293851285</v>
      </c>
      <c r="L12" s="33">
        <f>'Расчет дотаций'!N14-1</f>
        <v>-0.1454545454545455</v>
      </c>
      <c r="M12" s="33">
        <f>L12*'Расчет дотаций'!O14</f>
        <v>-2.1818181818181825</v>
      </c>
      <c r="N12" s="32">
        <f t="shared" si="2"/>
        <v>-1455.0321470614876</v>
      </c>
      <c r="O12" s="31">
        <f t="shared" si="3"/>
        <v>-3.170239234449761</v>
      </c>
    </row>
    <row r="13" spans="1:15" ht="15" customHeight="1">
      <c r="A13" s="15" t="s">
        <v>11</v>
      </c>
      <c r="B13" s="29">
        <f>'Расчет дотаций'!T15</f>
        <v>2628.4000000000015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72</v>
      </c>
      <c r="G13" s="4" t="s">
        <v>72</v>
      </c>
      <c r="H13" s="56" t="s">
        <v>72</v>
      </c>
      <c r="I13" s="33">
        <f>'Расчет дотаций'!J15-1</f>
        <v>-7.9794871794871769E-2</v>
      </c>
      <c r="J13" s="33">
        <f>I13*'Расчет дотаций'!K15</f>
        <v>-1.5958974358974354</v>
      </c>
      <c r="K13" s="32">
        <f t="shared" si="1"/>
        <v>-1686.0749285727982</v>
      </c>
      <c r="L13" s="33">
        <f>'Расчет дотаций'!N15-1</f>
        <v>0.27224806201550389</v>
      </c>
      <c r="M13" s="33">
        <f>L13*'Расчет дотаций'!O15</f>
        <v>4.0837209302325581</v>
      </c>
      <c r="N13" s="32">
        <f t="shared" si="2"/>
        <v>4314.4749285727994</v>
      </c>
      <c r="O13" s="31">
        <f t="shared" si="3"/>
        <v>2.4878234943351227</v>
      </c>
    </row>
    <row r="14" spans="1:15" ht="15" customHeight="1">
      <c r="A14" s="15" t="s">
        <v>12</v>
      </c>
      <c r="B14" s="29">
        <f>'Расчет дотаций'!T16</f>
        <v>2849.5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72</v>
      </c>
      <c r="G14" s="4" t="s">
        <v>72</v>
      </c>
      <c r="H14" s="56" t="s">
        <v>72</v>
      </c>
      <c r="I14" s="33">
        <f>'Расчет дотаций'!J16-1</f>
        <v>-6.1025641025640454E-3</v>
      </c>
      <c r="J14" s="33">
        <f>I14*'Расчет дотаций'!K16</f>
        <v>-0.12205128205128091</v>
      </c>
      <c r="K14" s="32">
        <f t="shared" si="1"/>
        <v>-116.58760980431163</v>
      </c>
      <c r="L14" s="33">
        <f>'Расчет дотаций'!N16-1</f>
        <v>0.20700587084148725</v>
      </c>
      <c r="M14" s="33">
        <f>L14*'Расчет дотаций'!O16</f>
        <v>3.1050880626223085</v>
      </c>
      <c r="N14" s="32">
        <f t="shared" si="2"/>
        <v>2966.0876098043118</v>
      </c>
      <c r="O14" s="31">
        <f t="shared" si="3"/>
        <v>2.9830367805710276</v>
      </c>
    </row>
    <row r="15" spans="1:15" ht="15" customHeight="1">
      <c r="A15" s="15" t="s">
        <v>13</v>
      </c>
      <c r="B15" s="29">
        <f>'Расчет дотаций'!T17</f>
        <v>4273.7000000000044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72</v>
      </c>
      <c r="G15" s="4" t="s">
        <v>72</v>
      </c>
      <c r="H15" s="56" t="s">
        <v>72</v>
      </c>
      <c r="I15" s="33">
        <f>'Расчет дотаций'!J17-1</f>
        <v>1.121052631578956E-2</v>
      </c>
      <c r="J15" s="33">
        <f>I15*'Расчет дотаций'!K17</f>
        <v>0.22421052631579119</v>
      </c>
      <c r="K15" s="32">
        <f t="shared" si="1"/>
        <v>241.50039021299136</v>
      </c>
      <c r="L15" s="33">
        <f>'Расчет дотаций'!N17-1</f>
        <v>0.24956801544525775</v>
      </c>
      <c r="M15" s="33">
        <f>L15*'Расчет дотаций'!O17</f>
        <v>3.7435202316788665</v>
      </c>
      <c r="N15" s="32">
        <f t="shared" si="2"/>
        <v>4032.1996097870128</v>
      </c>
      <c r="O15" s="31">
        <f t="shared" si="3"/>
        <v>3.9677307579946577</v>
      </c>
    </row>
    <row r="16" spans="1:15" ht="15" customHeight="1">
      <c r="A16" s="15" t="s">
        <v>14</v>
      </c>
      <c r="B16" s="29">
        <f>'Расчет дотаций'!T18</f>
        <v>-4083.9000000000015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72</v>
      </c>
      <c r="G16" s="4" t="s">
        <v>72</v>
      </c>
      <c r="H16" s="56" t="s">
        <v>72</v>
      </c>
      <c r="I16" s="33">
        <f>'Расчет дотаций'!J18-1</f>
        <v>1.0684210526315852E-2</v>
      </c>
      <c r="J16" s="33">
        <f>I16*'Расчет дотаций'!K18</f>
        <v>0.21368421052631703</v>
      </c>
      <c r="K16" s="32">
        <f t="shared" si="1"/>
        <v>150.62979754320932</v>
      </c>
      <c r="L16" s="33">
        <f>'Расчет дотаций'!N18-1</f>
        <v>-0.40047505938242278</v>
      </c>
      <c r="M16" s="33">
        <f>L16*'Расчет дотаций'!O18</f>
        <v>-6.0071258907363418</v>
      </c>
      <c r="N16" s="32">
        <f t="shared" si="2"/>
        <v>-4234.5297975432104</v>
      </c>
      <c r="O16" s="31">
        <f t="shared" si="3"/>
        <v>-5.7934416802100248</v>
      </c>
    </row>
    <row r="17" spans="1:15" ht="15" customHeight="1">
      <c r="A17" s="16" t="s">
        <v>17</v>
      </c>
      <c r="B17" s="28">
        <f>SUM(B18:B44)</f>
        <v>-1159.0999999999858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-9554.1139988758114</v>
      </c>
      <c r="L17" s="57"/>
      <c r="M17" s="57"/>
      <c r="N17" s="57">
        <f>SUM(N18:N44)</f>
        <v>8395.0139988758256</v>
      </c>
      <c r="O17" s="28"/>
    </row>
    <row r="18" spans="1:15" ht="15" customHeight="1">
      <c r="A18" s="17" t="s">
        <v>0</v>
      </c>
      <c r="B18" s="29">
        <f>'Расчет дотаций'!T20</f>
        <v>-1290.8999999999978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72</v>
      </c>
      <c r="G18" s="4" t="s">
        <v>72</v>
      </c>
      <c r="H18" s="56" t="s">
        <v>72</v>
      </c>
      <c r="I18" s="33">
        <f>'Расчет дотаций'!J20-1</f>
        <v>-7.2717948717948788E-2</v>
      </c>
      <c r="J18" s="33">
        <f>I18*'Расчет дотаций'!K20</f>
        <v>-1.0907692307692318</v>
      </c>
      <c r="K18" s="32">
        <f t="shared" si="1"/>
        <v>-656.583020138846</v>
      </c>
      <c r="L18" s="33">
        <f>'Расчет дотаций'!N20-1</f>
        <v>-0.21075581395348841</v>
      </c>
      <c r="M18" s="33">
        <f>L18*'Расчет дотаций'!O20</f>
        <v>-1.0537790697674421</v>
      </c>
      <c r="N18" s="32">
        <f t="shared" si="2"/>
        <v>-634.31697986115171</v>
      </c>
      <c r="O18" s="31">
        <f t="shared" si="3"/>
        <v>-2.1445483005366741</v>
      </c>
    </row>
    <row r="19" spans="1:15" ht="15" customHeight="1">
      <c r="A19" s="17" t="s">
        <v>18</v>
      </c>
      <c r="B19" s="29">
        <f>'Расчет дотаций'!T21</f>
        <v>-667.09999999999854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72</v>
      </c>
      <c r="G19" s="4" t="s">
        <v>72</v>
      </c>
      <c r="H19" s="56" t="s">
        <v>72</v>
      </c>
      <c r="I19" s="33">
        <f>'Расчет дотаций'!J21-1</f>
        <v>6.9743589743589407E-3</v>
      </c>
      <c r="J19" s="33">
        <f>I19*'Расчет дотаций'!K21</f>
        <v>0.10461538461538411</v>
      </c>
      <c r="K19" s="32">
        <f t="shared" si="1"/>
        <v>117.45053291636415</v>
      </c>
      <c r="L19" s="33">
        <f>'Расчет дотаций'!N21-1</f>
        <v>-0.13976276431150081</v>
      </c>
      <c r="M19" s="33">
        <f>L19*'Расчет дотаций'!O21</f>
        <v>-0.69881382155750404</v>
      </c>
      <c r="N19" s="32">
        <f t="shared" si="2"/>
        <v>-784.55053291636273</v>
      </c>
      <c r="O19" s="31">
        <f t="shared" si="3"/>
        <v>-0.59419843694211993</v>
      </c>
    </row>
    <row r="20" spans="1:15" ht="15" customHeight="1">
      <c r="A20" s="17" t="s">
        <v>19</v>
      </c>
      <c r="B20" s="29">
        <f>'Расчет дотаций'!T22</f>
        <v>34.099999999998545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72</v>
      </c>
      <c r="G20" s="4" t="s">
        <v>72</v>
      </c>
      <c r="H20" s="56" t="s">
        <v>72</v>
      </c>
      <c r="I20" s="33">
        <f>'Расчет дотаций'!J22-1</f>
        <v>-7.5263157894737143E-3</v>
      </c>
      <c r="J20" s="33">
        <f>I20*'Расчет дотаций'!K22</f>
        <v>-0.11289473684210571</v>
      </c>
      <c r="K20" s="32">
        <f t="shared" si="1"/>
        <v>-84.233349354503602</v>
      </c>
      <c r="L20" s="33">
        <f>'Расчет дотаций'!N22-1</f>
        <v>3.171953255425719E-2</v>
      </c>
      <c r="M20" s="33">
        <f>L20*'Расчет дотаций'!O22</f>
        <v>0.15859766277128595</v>
      </c>
      <c r="N20" s="32">
        <f t="shared" si="2"/>
        <v>118.33334935450216</v>
      </c>
      <c r="O20" s="31">
        <f t="shared" si="3"/>
        <v>4.5702925929180238E-2</v>
      </c>
    </row>
    <row r="21" spans="1:15" ht="15" customHeight="1">
      <c r="A21" s="17" t="s">
        <v>20</v>
      </c>
      <c r="B21" s="29">
        <f>'Расчет дотаций'!T23</f>
        <v>1293.5999999999985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72</v>
      </c>
      <c r="G21" s="4" t="s">
        <v>72</v>
      </c>
      <c r="H21" s="56" t="s">
        <v>72</v>
      </c>
      <c r="I21" s="33">
        <f>'Расчет дотаций'!J23-1</f>
        <v>6.8205128205127696E-3</v>
      </c>
      <c r="J21" s="33">
        <f>I21*'Расчет дотаций'!K23</f>
        <v>0.10230769230769154</v>
      </c>
      <c r="K21" s="32">
        <f t="shared" si="1"/>
        <v>84.692268958951104</v>
      </c>
      <c r="L21" s="33">
        <f>'Расчет дотаций'!N23-1</f>
        <v>0.29207048458149787</v>
      </c>
      <c r="M21" s="33">
        <f>L21*'Расчет дотаций'!O23</f>
        <v>1.4603524229074893</v>
      </c>
      <c r="N21" s="32">
        <f t="shared" si="2"/>
        <v>1208.9077310410476</v>
      </c>
      <c r="O21" s="31">
        <f t="shared" si="3"/>
        <v>1.5626601152151809</v>
      </c>
    </row>
    <row r="22" spans="1:15" ht="15" customHeight="1">
      <c r="A22" s="17" t="s">
        <v>21</v>
      </c>
      <c r="B22" s="29">
        <f>'Расчет дотаций'!T24</f>
        <v>-1641.6000000000022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72</v>
      </c>
      <c r="G22" s="4" t="s">
        <v>72</v>
      </c>
      <c r="H22" s="56" t="s">
        <v>72</v>
      </c>
      <c r="I22" s="33">
        <f>'Расчет дотаций'!J24-1</f>
        <v>-0.10499999999999998</v>
      </c>
      <c r="J22" s="33">
        <f>I22*'Расчет дотаций'!K24</f>
        <v>-1.5749999999999997</v>
      </c>
      <c r="K22" s="32">
        <f t="shared" si="1"/>
        <v>-1282.2746525539364</v>
      </c>
      <c r="L22" s="33">
        <f>'Расчет дотаций'!N24-1</f>
        <v>-8.8270858524788443E-2</v>
      </c>
      <c r="M22" s="33">
        <f>L22*'Расчет дотаций'!O24</f>
        <v>-0.44135429262394221</v>
      </c>
      <c r="N22" s="32">
        <f t="shared" si="2"/>
        <v>-359.32534744606602</v>
      </c>
      <c r="O22" s="31">
        <f t="shared" si="3"/>
        <v>-2.0163542926239417</v>
      </c>
    </row>
    <row r="23" spans="1:15" ht="15" customHeight="1">
      <c r="A23" s="17" t="s">
        <v>22</v>
      </c>
      <c r="B23" s="29">
        <f>'Расчет дотаций'!T25</f>
        <v>968.80000000000291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72</v>
      </c>
      <c r="G23" s="4" t="s">
        <v>72</v>
      </c>
      <c r="H23" s="56" t="s">
        <v>72</v>
      </c>
      <c r="I23" s="33">
        <f>'Расчет дотаций'!J25-1</f>
        <v>-1.5179487179487028E-2</v>
      </c>
      <c r="J23" s="33">
        <f>I23*'Расчет дотаций'!K25</f>
        <v>-0.22769230769230542</v>
      </c>
      <c r="K23" s="32">
        <f t="shared" si="1"/>
        <v>-246.51166027315193</v>
      </c>
      <c r="L23" s="33">
        <f>'Расчет дотаций'!N25-1</f>
        <v>0.22450631031922796</v>
      </c>
      <c r="M23" s="33">
        <f>L23*'Расчет дотаций'!O25</f>
        <v>1.1225315515961398</v>
      </c>
      <c r="N23" s="32">
        <f t="shared" si="2"/>
        <v>1215.3116602731548</v>
      </c>
      <c r="O23" s="31">
        <f t="shared" si="3"/>
        <v>0.8948392439038344</v>
      </c>
    </row>
    <row r="24" spans="1:15" ht="15" customHeight="1">
      <c r="A24" s="17" t="s">
        <v>23</v>
      </c>
      <c r="B24" s="29">
        <f>'Расчет дотаций'!T26</f>
        <v>1662.9000000000015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72</v>
      </c>
      <c r="G24" s="4" t="s">
        <v>72</v>
      </c>
      <c r="H24" s="56" t="s">
        <v>72</v>
      </c>
      <c r="I24" s="33">
        <f>'Расчет дотаций'!J26-1</f>
        <v>-6.6111111111111232E-3</v>
      </c>
      <c r="J24" s="33">
        <f>I24*'Расчет дотаций'!K26</f>
        <v>-9.9166666666666847E-2</v>
      </c>
      <c r="K24" s="32">
        <f t="shared" si="1"/>
        <v>-172.78724907302407</v>
      </c>
      <c r="L24" s="33">
        <f>'Расчет дотаций'!N26-1</f>
        <v>0.21070881851489087</v>
      </c>
      <c r="M24" s="33">
        <f>L24*'Расчет дотаций'!O26</f>
        <v>1.0535440925744544</v>
      </c>
      <c r="N24" s="32">
        <f t="shared" si="2"/>
        <v>1835.6872490730257</v>
      </c>
      <c r="O24" s="31">
        <f t="shared" si="3"/>
        <v>0.95437742590778751</v>
      </c>
    </row>
    <row r="25" spans="1:15" ht="15" customHeight="1">
      <c r="A25" s="17" t="s">
        <v>24</v>
      </c>
      <c r="B25" s="29">
        <f>'Расчет дотаций'!T27</f>
        <v>282.5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72</v>
      </c>
      <c r="G25" s="4" t="s">
        <v>72</v>
      </c>
      <c r="H25" s="56" t="s">
        <v>72</v>
      </c>
      <c r="I25" s="33">
        <f>'Расчет дотаций'!J27-1</f>
        <v>-4.631578947368431E-2</v>
      </c>
      <c r="J25" s="33">
        <f>I25*'Расчет дотаций'!K27</f>
        <v>-0.69473684210526465</v>
      </c>
      <c r="K25" s="32">
        <f t="shared" si="1"/>
        <v>-313.25505670062455</v>
      </c>
      <c r="L25" s="33">
        <f>'Расчет дотаций'!N27-1</f>
        <v>0.26425302826379538</v>
      </c>
      <c r="M25" s="33">
        <f>L25*'Расчет дотаций'!O27</f>
        <v>1.3212651413189769</v>
      </c>
      <c r="N25" s="32">
        <f t="shared" si="2"/>
        <v>595.75505670062455</v>
      </c>
      <c r="O25" s="31">
        <f t="shared" si="3"/>
        <v>0.62652829921371223</v>
      </c>
    </row>
    <row r="26" spans="1:15" ht="15" customHeight="1">
      <c r="A26" s="17" t="s">
        <v>25</v>
      </c>
      <c r="B26" s="29">
        <f>'Расчет дотаций'!T28</f>
        <v>-1061.1999999999971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72</v>
      </c>
      <c r="G26" s="4" t="s">
        <v>72</v>
      </c>
      <c r="H26" s="56" t="s">
        <v>72</v>
      </c>
      <c r="I26" s="33">
        <f>'Расчет дотаций'!J28-1</f>
        <v>5.7948717948717032E-3</v>
      </c>
      <c r="J26" s="33">
        <f>I26*'Расчет дотаций'!K28</f>
        <v>8.6923076923075548E-2</v>
      </c>
      <c r="K26" s="32">
        <f t="shared" si="1"/>
        <v>73.191803806100339</v>
      </c>
      <c r="L26" s="33">
        <f>'Расчет дотаций'!N28-1</f>
        <v>-0.26944226237234881</v>
      </c>
      <c r="M26" s="33">
        <f>L26*'Расчет дотаций'!O28</f>
        <v>-1.3472113118617441</v>
      </c>
      <c r="N26" s="32">
        <f t="shared" si="2"/>
        <v>-1134.3918038060974</v>
      </c>
      <c r="O26" s="31">
        <f t="shared" si="3"/>
        <v>-1.2602882349386686</v>
      </c>
    </row>
    <row r="27" spans="1:15" ht="15" customHeight="1">
      <c r="A27" s="17" t="s">
        <v>26</v>
      </c>
      <c r="B27" s="29">
        <f>'Расчет дотаций'!T29</f>
        <v>-359.19999999999709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72</v>
      </c>
      <c r="G27" s="4" t="s">
        <v>72</v>
      </c>
      <c r="H27" s="56" t="s">
        <v>72</v>
      </c>
      <c r="I27" s="33">
        <f>'Расчет дотаций'!J29-1</f>
        <v>3.1888888888888856E-2</v>
      </c>
      <c r="J27" s="33">
        <f>I27*'Расчет дотаций'!K29</f>
        <v>0.47833333333333283</v>
      </c>
      <c r="K27" s="32">
        <f t="shared" si="1"/>
        <v>277.54137267927422</v>
      </c>
      <c r="L27" s="33">
        <f>'Расчет дотаций'!N29-1</f>
        <v>-0.2194805194805195</v>
      </c>
      <c r="M27" s="33">
        <f>L27*'Расчет дотаций'!O29</f>
        <v>-1.0974025974025974</v>
      </c>
      <c r="N27" s="32">
        <f t="shared" si="2"/>
        <v>-636.74137267927131</v>
      </c>
      <c r="O27" s="31">
        <f t="shared" si="3"/>
        <v>-0.61906926406926455</v>
      </c>
    </row>
    <row r="28" spans="1:15" ht="15" customHeight="1">
      <c r="A28" s="17" t="s">
        <v>27</v>
      </c>
      <c r="B28" s="29">
        <f>'Расчет дотаций'!T30</f>
        <v>712.29999999999927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72</v>
      </c>
      <c r="G28" s="4" t="s">
        <v>72</v>
      </c>
      <c r="H28" s="56" t="s">
        <v>72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0.21978336453597214</v>
      </c>
      <c r="M28" s="33">
        <f>L28*'Расчет дотаций'!O30</f>
        <v>1.0989168226798607</v>
      </c>
      <c r="N28" s="32">
        <f t="shared" si="2"/>
        <v>712.29999999999927</v>
      </c>
      <c r="O28" s="31">
        <f t="shared" si="3"/>
        <v>1.0989168226798607</v>
      </c>
    </row>
    <row r="29" spans="1:15" ht="15" customHeight="1">
      <c r="A29" s="17" t="s">
        <v>28</v>
      </c>
      <c r="B29" s="29">
        <f>'Расчет дотаций'!T31</f>
        <v>883.59999999999854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72</v>
      </c>
      <c r="G29" s="4" t="s">
        <v>72</v>
      </c>
      <c r="H29" s="56" t="s">
        <v>72</v>
      </c>
      <c r="I29" s="33">
        <f>'Расчет дотаций'!J31-1</f>
        <v>-6.8205128205127696E-3</v>
      </c>
      <c r="J29" s="33">
        <f>I29*'Расчет дотаций'!K31</f>
        <v>-0.10230769230769154</v>
      </c>
      <c r="K29" s="32">
        <f t="shared" si="1"/>
        <v>-148.69729255804012</v>
      </c>
      <c r="L29" s="33">
        <f>'Расчет дотаций'!N31-1</f>
        <v>0.14204959883296864</v>
      </c>
      <c r="M29" s="33">
        <f>L29*'Расчет дотаций'!O31</f>
        <v>0.71024799416484319</v>
      </c>
      <c r="N29" s="32">
        <f t="shared" si="2"/>
        <v>1032.2972925580386</v>
      </c>
      <c r="O29" s="31">
        <f t="shared" si="3"/>
        <v>0.60794030185715164</v>
      </c>
    </row>
    <row r="30" spans="1:15" ht="15" customHeight="1">
      <c r="A30" s="17" t="s">
        <v>29</v>
      </c>
      <c r="B30" s="29">
        <f>'Расчет дотаций'!T32</f>
        <v>-1799.8999999999978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72</v>
      </c>
      <c r="G30" s="4" t="s">
        <v>72</v>
      </c>
      <c r="H30" s="56" t="s">
        <v>72</v>
      </c>
      <c r="I30" s="33">
        <f>'Расчет дотаций'!J32-1</f>
        <v>9.2307692307693756E-3</v>
      </c>
      <c r="J30" s="33">
        <f>I30*'Расчет дотаций'!K32</f>
        <v>0.13846153846154063</v>
      </c>
      <c r="K30" s="32">
        <f t="shared" si="1"/>
        <v>91.66831042845736</v>
      </c>
      <c r="L30" s="33">
        <f>'Расчет дотаций'!N32-1</f>
        <v>-0.5714285714285714</v>
      </c>
      <c r="M30" s="33">
        <f>L30*'Расчет дотаций'!O32</f>
        <v>-2.8571428571428568</v>
      </c>
      <c r="N30" s="32">
        <f t="shared" si="2"/>
        <v>-1891.5683104284553</v>
      </c>
      <c r="O30" s="31">
        <f t="shared" si="3"/>
        <v>-2.7186813186813161</v>
      </c>
    </row>
    <row r="31" spans="1:15" ht="15" customHeight="1">
      <c r="A31" s="17" t="s">
        <v>30</v>
      </c>
      <c r="B31" s="29">
        <f>'Расчет дотаций'!T33</f>
        <v>-291.69999999999709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72</v>
      </c>
      <c r="G31" s="4" t="s">
        <v>72</v>
      </c>
      <c r="H31" s="56" t="s">
        <v>72</v>
      </c>
      <c r="I31" s="33">
        <f>'Расчет дотаций'!J33-1</f>
        <v>-9.5948717948717843E-2</v>
      </c>
      <c r="J31" s="33">
        <f>I31*'Расчет дотаций'!K33</f>
        <v>-1.4392307692307678</v>
      </c>
      <c r="K31" s="32">
        <f t="shared" si="1"/>
        <v>-1383.404787191366</v>
      </c>
      <c r="L31" s="33">
        <f>'Расчет дотаций'!N33-1</f>
        <v>0.22715189873417718</v>
      </c>
      <c r="M31" s="33">
        <f>L31*'Расчет дотаций'!O33</f>
        <v>1.1357594936708859</v>
      </c>
      <c r="N31" s="32">
        <f t="shared" si="2"/>
        <v>1091.704787191369</v>
      </c>
      <c r="O31" s="31">
        <f t="shared" si="3"/>
        <v>-0.30347127555988185</v>
      </c>
    </row>
    <row r="32" spans="1:15" ht="15" customHeight="1">
      <c r="A32" s="17" t="s">
        <v>31</v>
      </c>
      <c r="B32" s="29">
        <f>'Расчет дотаций'!T34</f>
        <v>1000.6999999999971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72</v>
      </c>
      <c r="G32" s="4" t="s">
        <v>72</v>
      </c>
      <c r="H32" s="56" t="s">
        <v>72</v>
      </c>
      <c r="I32" s="33">
        <f>'Расчет дотаций'!J34-1</f>
        <v>-3.0769230769234213E-4</v>
      </c>
      <c r="J32" s="33">
        <f>I32*'Расчет дотаций'!K34</f>
        <v>-4.6153846153851319E-3</v>
      </c>
      <c r="K32" s="32">
        <f t="shared" si="1"/>
        <v>-4.0955779406905588</v>
      </c>
      <c r="L32" s="33">
        <f>'Расчет дотаций'!N34-1</f>
        <v>0.22646464646464648</v>
      </c>
      <c r="M32" s="33">
        <f>L32*'Расчет дотаций'!O34</f>
        <v>1.1323232323232324</v>
      </c>
      <c r="N32" s="32">
        <f t="shared" si="2"/>
        <v>1004.7955779406877</v>
      </c>
      <c r="O32" s="31">
        <f t="shared" si="3"/>
        <v>1.1277078477078473</v>
      </c>
    </row>
    <row r="33" spans="1:16" ht="15" customHeight="1">
      <c r="A33" s="17" t="s">
        <v>1</v>
      </c>
      <c r="B33" s="29">
        <f>'Расчет дотаций'!T35</f>
        <v>914.40000000000146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72</v>
      </c>
      <c r="G33" s="4" t="s">
        <v>72</v>
      </c>
      <c r="H33" s="56" t="s">
        <v>72</v>
      </c>
      <c r="I33" s="33">
        <f>'Расчет дотаций'!J35-1</f>
        <v>-4.842105263157892E-2</v>
      </c>
      <c r="J33" s="33">
        <f>I33*'Расчет дотаций'!K35</f>
        <v>-0.7263157894736838</v>
      </c>
      <c r="K33" s="32">
        <f t="shared" si="1"/>
        <v>-858.41632653061242</v>
      </c>
      <c r="L33" s="33">
        <f>'Расчет дотаций'!N35-1</f>
        <v>0.30000000000000004</v>
      </c>
      <c r="M33" s="33">
        <f>L33*'Расчет дотаций'!O35</f>
        <v>1.5000000000000002</v>
      </c>
      <c r="N33" s="32">
        <f t="shared" si="2"/>
        <v>1772.8163265306139</v>
      </c>
      <c r="O33" s="31">
        <f t="shared" si="3"/>
        <v>0.77368421052631642</v>
      </c>
    </row>
    <row r="34" spans="1:16" ht="15" customHeight="1">
      <c r="A34" s="17" t="s">
        <v>32</v>
      </c>
      <c r="B34" s="29">
        <f>'Расчет дотаций'!T36</f>
        <v>654.20000000000073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72</v>
      </c>
      <c r="G34" s="4" t="s">
        <v>72</v>
      </c>
      <c r="H34" s="56" t="s">
        <v>72</v>
      </c>
      <c r="I34" s="33">
        <f>'Расчет дотаций'!J36-1</f>
        <v>-1.7157894736842039E-2</v>
      </c>
      <c r="J34" s="33">
        <f>I34*'Расчет дотаций'!K36</f>
        <v>-0.25736842105263058</v>
      </c>
      <c r="K34" s="32">
        <f t="shared" si="1"/>
        <v>-265.08933041316425</v>
      </c>
      <c r="L34" s="33">
        <f>'Расчет дотаций'!N36-1</f>
        <v>0.17850287907869489</v>
      </c>
      <c r="M34" s="33">
        <f>L34*'Расчет дотаций'!O36</f>
        <v>0.89251439539347444</v>
      </c>
      <c r="N34" s="32">
        <f t="shared" si="2"/>
        <v>919.28933041316498</v>
      </c>
      <c r="O34" s="31">
        <f t="shared" si="3"/>
        <v>0.63514597434084386</v>
      </c>
    </row>
    <row r="35" spans="1:16" ht="15" customHeight="1">
      <c r="A35" s="17" t="s">
        <v>33</v>
      </c>
      <c r="B35" s="29">
        <f>'Расчет дотаций'!T37</f>
        <v>-1905.9999999999982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72</v>
      </c>
      <c r="G35" s="4" t="s">
        <v>72</v>
      </c>
      <c r="H35" s="56" t="s">
        <v>72</v>
      </c>
      <c r="I35" s="33">
        <f>'Расчет дотаций'!J37-1</f>
        <v>-0.30388888888888888</v>
      </c>
      <c r="J35" s="33">
        <f>I35*'Расчет дотаций'!K37</f>
        <v>-4.5583333333333336</v>
      </c>
      <c r="K35" s="32">
        <f t="shared" si="1"/>
        <v>-2609.4173037629539</v>
      </c>
      <c r="L35" s="33">
        <f>'Расчет дотаций'!N37-1</f>
        <v>0.2457568238213399</v>
      </c>
      <c r="M35" s="33">
        <f>L35*'Расчет дотаций'!O37</f>
        <v>1.2287841191066995</v>
      </c>
      <c r="N35" s="32">
        <f t="shared" si="2"/>
        <v>703.41730376295573</v>
      </c>
      <c r="O35" s="31">
        <f t="shared" si="3"/>
        <v>-3.3295492142266339</v>
      </c>
    </row>
    <row r="36" spans="1:16" ht="15" customHeight="1">
      <c r="A36" s="17" t="s">
        <v>34</v>
      </c>
      <c r="B36" s="29">
        <f>'Расчет дотаций'!T38</f>
        <v>-3518.3000000000029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72</v>
      </c>
      <c r="G36" s="4" t="s">
        <v>72</v>
      </c>
      <c r="H36" s="56" t="s">
        <v>72</v>
      </c>
      <c r="I36" s="33">
        <f>'Расчет дотаций'!J38-1</f>
        <v>-1.936842105263159E-2</v>
      </c>
      <c r="J36" s="33">
        <f>I36*'Расчет дотаций'!K38</f>
        <v>-0.29052631578947385</v>
      </c>
      <c r="K36" s="32">
        <f t="shared" si="1"/>
        <v>-389.54069144817015</v>
      </c>
      <c r="L36" s="33">
        <f>'Расчет дотаций'!N38-1</f>
        <v>-0.46669677128019871</v>
      </c>
      <c r="M36" s="33">
        <f>L36*'Расчет дотаций'!O38</f>
        <v>-2.3334838564009934</v>
      </c>
      <c r="N36" s="32">
        <f t="shared" si="2"/>
        <v>-3128.7593085518329</v>
      </c>
      <c r="O36" s="31">
        <f t="shared" si="3"/>
        <v>-2.6240101721904674</v>
      </c>
    </row>
    <row r="37" spans="1:16" ht="15" customHeight="1">
      <c r="A37" s="17" t="s">
        <v>35</v>
      </c>
      <c r="B37" s="29">
        <f>'Расчет дотаций'!T39</f>
        <v>371.5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72</v>
      </c>
      <c r="G37" s="4" t="s">
        <v>72</v>
      </c>
      <c r="H37" s="56" t="s">
        <v>72</v>
      </c>
      <c r="I37" s="33">
        <f>'Расчет дотаций'!J39-1</f>
        <v>1.3846153846153841E-2</v>
      </c>
      <c r="J37" s="33">
        <f>I37*'Расчет дотаций'!K39</f>
        <v>0.20769230769230762</v>
      </c>
      <c r="K37" s="32">
        <f t="shared" si="1"/>
        <v>219.06053569012954</v>
      </c>
      <c r="L37" s="33">
        <f>'Расчет дотаций'!N39-1</f>
        <v>2.890571231933925E-2</v>
      </c>
      <c r="M37" s="33">
        <f>L37*'Расчет дотаций'!O39</f>
        <v>0.14452856159669625</v>
      </c>
      <c r="N37" s="32">
        <f t="shared" si="2"/>
        <v>152.43946430987046</v>
      </c>
      <c r="O37" s="31">
        <f t="shared" si="3"/>
        <v>0.35222086928900387</v>
      </c>
    </row>
    <row r="38" spans="1:16" ht="15" customHeight="1">
      <c r="A38" s="17" t="s">
        <v>36</v>
      </c>
      <c r="B38" s="29">
        <f>'Расчет дотаций'!T40</f>
        <v>1510.4000000000015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72</v>
      </c>
      <c r="G38" s="4" t="s">
        <v>72</v>
      </c>
      <c r="H38" s="56" t="s">
        <v>72</v>
      </c>
      <c r="I38" s="33">
        <f>'Расчет дотаций'!J40-1</f>
        <v>2.1105263157894738E-2</v>
      </c>
      <c r="J38" s="33">
        <f>I38*'Расчет дотаций'!K40</f>
        <v>0.31657894736842107</v>
      </c>
      <c r="K38" s="32">
        <f t="shared" si="1"/>
        <v>357.94695276044536</v>
      </c>
      <c r="L38" s="33">
        <f>'Расчет дотаций'!N40-1</f>
        <v>0.20385276073619618</v>
      </c>
      <c r="M38" s="33">
        <f>L38*'Расчет дотаций'!O40</f>
        <v>1.0192638036809809</v>
      </c>
      <c r="N38" s="32">
        <f t="shared" si="2"/>
        <v>1152.4530472395561</v>
      </c>
      <c r="O38" s="31">
        <f t="shared" si="3"/>
        <v>1.335842751049402</v>
      </c>
    </row>
    <row r="39" spans="1:16" ht="15" customHeight="1">
      <c r="A39" s="17" t="s">
        <v>37</v>
      </c>
      <c r="B39" s="29">
        <f>'Расчет дотаций'!T41</f>
        <v>1010.3000000000029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72</v>
      </c>
      <c r="G39" s="4" t="s">
        <v>72</v>
      </c>
      <c r="H39" s="56" t="s">
        <v>72</v>
      </c>
      <c r="I39" s="33">
        <f>'Расчет дотаций'!J41-1</f>
        <v>-5.8388888888888824E-2</v>
      </c>
      <c r="J39" s="33">
        <f>I39*'Расчет дотаций'!K41</f>
        <v>-0.87583333333333235</v>
      </c>
      <c r="K39" s="32">
        <f t="shared" si="1"/>
        <v>-1439.0504627338228</v>
      </c>
      <c r="L39" s="33">
        <f>'Расчет дотаций'!N41-1</f>
        <v>0.29814420492278493</v>
      </c>
      <c r="M39" s="33">
        <f>L39*'Расчет дотаций'!O41</f>
        <v>1.4907210246139246</v>
      </c>
      <c r="N39" s="32">
        <f t="shared" si="2"/>
        <v>2449.3504627338257</v>
      </c>
      <c r="O39" s="31">
        <f t="shared" si="3"/>
        <v>0.61488769128059229</v>
      </c>
    </row>
    <row r="40" spans="1:16" ht="15" customHeight="1">
      <c r="A40" s="17" t="s">
        <v>38</v>
      </c>
      <c r="B40" s="29">
        <f>'Расчет дотаций'!T42</f>
        <v>1127.2999999999993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72</v>
      </c>
      <c r="G40" s="4" t="s">
        <v>72</v>
      </c>
      <c r="H40" s="56" t="s">
        <v>72</v>
      </c>
      <c r="I40" s="33">
        <f>'Расчет дотаций'!J42-1</f>
        <v>2.2051282051283039E-3</v>
      </c>
      <c r="J40" s="33">
        <f>I40*'Расчет дотаций'!K42</f>
        <v>3.3076923076924558E-2</v>
      </c>
      <c r="K40" s="32">
        <f t="shared" si="1"/>
        <v>29.45762315130257</v>
      </c>
      <c r="L40" s="33">
        <f>'Расчет дотаций'!N42-1</f>
        <v>0.24654567453115539</v>
      </c>
      <c r="M40" s="33">
        <f>L40*'Расчет дотаций'!O42</f>
        <v>1.2327283726557769</v>
      </c>
      <c r="N40" s="32">
        <f t="shared" si="2"/>
        <v>1097.8423768486966</v>
      </c>
      <c r="O40" s="31">
        <f t="shared" si="3"/>
        <v>1.2658052957327015</v>
      </c>
    </row>
    <row r="41" spans="1:16" ht="15" customHeight="1">
      <c r="A41" s="17" t="s">
        <v>2</v>
      </c>
      <c r="B41" s="29">
        <f>'Расчет дотаций'!T43</f>
        <v>-688.89999999999782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72</v>
      </c>
      <c r="G41" s="4" t="s">
        <v>72</v>
      </c>
      <c r="H41" s="56" t="s">
        <v>72</v>
      </c>
      <c r="I41" s="33">
        <f>'Расчет дотаций'!J43-1</f>
        <v>5.3846153846155431E-3</v>
      </c>
      <c r="J41" s="33">
        <f>I41*'Расчет дотаций'!K43</f>
        <v>8.0769230769233147E-2</v>
      </c>
      <c r="K41" s="32">
        <f t="shared" si="1"/>
        <v>70.9285058590375</v>
      </c>
      <c r="L41" s="33">
        <f>'Расчет дотаций'!N43-1</f>
        <v>-0.17304964539007095</v>
      </c>
      <c r="M41" s="33">
        <f>L41*'Расчет дотаций'!O43</f>
        <v>-0.86524822695035475</v>
      </c>
      <c r="N41" s="32">
        <f t="shared" si="2"/>
        <v>-759.82850585903532</v>
      </c>
      <c r="O41" s="31">
        <f t="shared" si="3"/>
        <v>-0.7844789961811216</v>
      </c>
    </row>
    <row r="42" spans="1:16" ht="15" customHeight="1">
      <c r="A42" s="17" t="s">
        <v>39</v>
      </c>
      <c r="B42" s="29">
        <f>'Расчет дотаций'!T44</f>
        <v>900.29999999999927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72</v>
      </c>
      <c r="G42" s="4" t="s">
        <v>72</v>
      </c>
      <c r="H42" s="56" t="s">
        <v>72</v>
      </c>
      <c r="I42" s="33">
        <f>'Расчет дотаций'!J44-1</f>
        <v>-1.702564102564097E-2</v>
      </c>
      <c r="J42" s="33">
        <f>I42*'Расчет дотаций'!K44</f>
        <v>-0.25538461538461454</v>
      </c>
      <c r="K42" s="32">
        <f t="shared" si="1"/>
        <v>-184.73399258343542</v>
      </c>
      <c r="L42" s="33">
        <f>'Расчет дотаций'!N44-1</f>
        <v>0.30000000000000004</v>
      </c>
      <c r="M42" s="33">
        <f>L42*'Расчет дотаций'!O44</f>
        <v>1.5000000000000002</v>
      </c>
      <c r="N42" s="32">
        <f t="shared" si="2"/>
        <v>1085.0339925834346</v>
      </c>
      <c r="O42" s="31">
        <f t="shared" si="3"/>
        <v>1.2446153846153858</v>
      </c>
    </row>
    <row r="43" spans="1:16" ht="15" customHeight="1">
      <c r="A43" s="17" t="s">
        <v>3</v>
      </c>
      <c r="B43" s="29">
        <f>'Расчет дотаций'!T45</f>
        <v>113.20000000000073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72</v>
      </c>
      <c r="G43" s="4" t="s">
        <v>72</v>
      </c>
      <c r="H43" s="56" t="s">
        <v>72</v>
      </c>
      <c r="I43" s="33">
        <f>'Расчет дотаций'!J45-1</f>
        <v>-1.3333333333334085E-3</v>
      </c>
      <c r="J43" s="33">
        <f>I43*'Расчет дотаций'!K45</f>
        <v>-2.0000000000001128E-2</v>
      </c>
      <c r="K43" s="32">
        <f t="shared" si="1"/>
        <v>-14.666260024851317</v>
      </c>
      <c r="L43" s="33">
        <f>'Расчет дотаций'!N45-1</f>
        <v>3.487358326068013E-2</v>
      </c>
      <c r="M43" s="33">
        <f>L43*'Расчет дотаций'!O45</f>
        <v>0.17436791630340065</v>
      </c>
      <c r="N43" s="32">
        <f t="shared" si="2"/>
        <v>127.86626002485204</v>
      </c>
      <c r="O43" s="31">
        <f t="shared" si="3"/>
        <v>0.15436791630339952</v>
      </c>
    </row>
    <row r="44" spans="1:16" ht="15" customHeight="1">
      <c r="A44" s="17" t="s">
        <v>40</v>
      </c>
      <c r="B44" s="29">
        <f>'Расчет дотаций'!T46</f>
        <v>-1374.4000000000015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72</v>
      </c>
      <c r="G44" s="4" t="s">
        <v>72</v>
      </c>
      <c r="H44" s="56" t="s">
        <v>72</v>
      </c>
      <c r="I44" s="33">
        <f>'Расчет дотаций'!J46-1</f>
        <v>-4.4631578947368467E-2</v>
      </c>
      <c r="J44" s="33">
        <f>I44*'Расчет дотаций'!K46</f>
        <v>-0.669473684210527</v>
      </c>
      <c r="K44" s="32">
        <f t="shared" si="1"/>
        <v>-823.29489184468025</v>
      </c>
      <c r="L44" s="33">
        <f>'Расчет дотаций'!N46-1</f>
        <v>-8.9627755692085254E-2</v>
      </c>
      <c r="M44" s="33">
        <f>L44*'Расчет дотаций'!O46</f>
        <v>-0.44813877846042627</v>
      </c>
      <c r="N44" s="32">
        <f t="shared" si="2"/>
        <v>-551.10510815532109</v>
      </c>
      <c r="O44" s="31">
        <f t="shared" si="3"/>
        <v>-1.1176124626709534</v>
      </c>
    </row>
    <row r="45" spans="1:16" s="27" customFormat="1" ht="15" customHeight="1">
      <c r="A45" s="26" t="s">
        <v>45</v>
      </c>
      <c r="B45" s="30">
        <f>B6+B17</f>
        <v>-104595.89999999995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-25188.116315367988</v>
      </c>
      <c r="L45" s="30"/>
      <c r="M45" s="30"/>
      <c r="N45" s="30">
        <f>N6+N17</f>
        <v>-79407.783684631955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2024-06-20T10:44:26Z</cp:lastPrinted>
  <dcterms:created xsi:type="dcterms:W3CDTF">2010-02-05T14:48:49Z</dcterms:created>
  <dcterms:modified xsi:type="dcterms:W3CDTF">2024-07-18T06:24:33Z</dcterms:modified>
</cp:coreProperties>
</file>