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дотаций'!$A$1:$AE$50</definedName>
  </definedNames>
  <calcPr calcId="125725"/>
</workbook>
</file>

<file path=xl/calcChain.xml><?xml version="1.0" encoding="utf-8"?>
<calcChain xmlns="http://schemas.openxmlformats.org/spreadsheetml/2006/main">
  <c r="AC46" i="7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20"/>
  <c r="AC10"/>
  <c r="AC11"/>
  <c r="AC12"/>
  <c r="AC13"/>
  <c r="AC14"/>
  <c r="AC15"/>
  <c r="AC16"/>
  <c r="AC17"/>
  <c r="AC18"/>
  <c r="AC9"/>
  <c r="P9" l="1"/>
  <c r="AE44"/>
  <c r="AE43"/>
  <c r="AE42"/>
  <c r="AE40"/>
  <c r="AE38"/>
  <c r="AE37"/>
  <c r="AE36"/>
  <c r="AE34"/>
  <c r="AE33"/>
  <c r="AE31"/>
  <c r="AE30"/>
  <c r="AE29"/>
  <c r="AE28"/>
  <c r="AE27"/>
  <c r="AE26"/>
  <c r="AE25"/>
  <c r="AE22"/>
  <c r="AE21"/>
  <c r="AE20"/>
  <c r="AE11"/>
  <c r="AE13"/>
  <c r="AE14"/>
  <c r="AE15"/>
  <c r="AE17"/>
  <c r="AE18"/>
  <c r="AE9"/>
  <c r="AD35"/>
  <c r="AE35" s="1"/>
  <c r="AD33"/>
  <c r="AD32"/>
  <c r="AE32" s="1"/>
  <c r="AD24"/>
  <c r="AE24" s="1"/>
  <c r="AD23"/>
  <c r="AE23" s="1"/>
  <c r="AD20"/>
  <c r="AD12"/>
  <c r="AE12" s="1"/>
  <c r="AD10"/>
  <c r="AE10" s="1"/>
  <c r="X19" l="1"/>
  <c r="X8"/>
  <c r="X47" l="1"/>
  <c r="W19"/>
  <c r="W8"/>
  <c r="R9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P28"/>
  <c r="P24"/>
  <c r="P20"/>
  <c r="P13"/>
  <c r="P17"/>
  <c r="N46"/>
  <c r="N45"/>
  <c r="P45" s="1"/>
  <c r="N44"/>
  <c r="N43"/>
  <c r="N42"/>
  <c r="N41"/>
  <c r="P41" s="1"/>
  <c r="N40"/>
  <c r="N39"/>
  <c r="N38"/>
  <c r="N37"/>
  <c r="P37" s="1"/>
  <c r="N36"/>
  <c r="N35"/>
  <c r="N34"/>
  <c r="N33"/>
  <c r="P33" s="1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F46"/>
  <c r="P46" s="1"/>
  <c r="F45"/>
  <c r="F44"/>
  <c r="P44" s="1"/>
  <c r="F43"/>
  <c r="P43" s="1"/>
  <c r="F42"/>
  <c r="P42" s="1"/>
  <c r="F41"/>
  <c r="F40"/>
  <c r="P40" s="1"/>
  <c r="F39"/>
  <c r="P39" s="1"/>
  <c r="F38"/>
  <c r="P38" s="1"/>
  <c r="F37"/>
  <c r="F36"/>
  <c r="P36" s="1"/>
  <c r="F35"/>
  <c r="P35" s="1"/>
  <c r="F34"/>
  <c r="P34" s="1"/>
  <c r="F33"/>
  <c r="F32"/>
  <c r="P32" s="1"/>
  <c r="F31"/>
  <c r="P31" s="1"/>
  <c r="F30"/>
  <c r="P30" s="1"/>
  <c r="F29"/>
  <c r="P29" s="1"/>
  <c r="F28"/>
  <c r="F27"/>
  <c r="P27" s="1"/>
  <c r="F26"/>
  <c r="P26" s="1"/>
  <c r="F25"/>
  <c r="P25" s="1"/>
  <c r="F24"/>
  <c r="F23"/>
  <c r="P23" s="1"/>
  <c r="F22"/>
  <c r="P22" s="1"/>
  <c r="F21"/>
  <c r="P21" s="1"/>
  <c r="F20"/>
  <c r="F10"/>
  <c r="P10" s="1"/>
  <c r="F11"/>
  <c r="P11" s="1"/>
  <c r="F12"/>
  <c r="P12" s="1"/>
  <c r="F13"/>
  <c r="F14"/>
  <c r="P14" s="1"/>
  <c r="F15"/>
  <c r="P15" s="1"/>
  <c r="F16"/>
  <c r="P16" s="1"/>
  <c r="F17"/>
  <c r="F18"/>
  <c r="P18" s="1"/>
  <c r="F9"/>
  <c r="S9" s="1"/>
  <c r="E19"/>
  <c r="E47" s="1"/>
  <c r="D19"/>
  <c r="E8"/>
  <c r="D8"/>
  <c r="Y9" l="1"/>
  <c r="T9"/>
  <c r="W47"/>
  <c r="D47"/>
  <c r="V19" l="1"/>
  <c r="V8"/>
  <c r="V47" l="1"/>
  <c r="M19" l="1"/>
  <c r="L19"/>
  <c r="M8"/>
  <c r="L8"/>
  <c r="N19"/>
  <c r="S46"/>
  <c r="Y46" s="1"/>
  <c r="L43" i="8"/>
  <c r="M43" s="1"/>
  <c r="S43" i="7"/>
  <c r="Y43" s="1"/>
  <c r="S42"/>
  <c r="Y42" s="1"/>
  <c r="L39" i="8"/>
  <c r="M39" s="1"/>
  <c r="S40" i="7"/>
  <c r="Y40" s="1"/>
  <c r="S39"/>
  <c r="Y39" s="1"/>
  <c r="S38"/>
  <c r="Y38" s="1"/>
  <c r="L35" i="8"/>
  <c r="M35" s="1"/>
  <c r="L34"/>
  <c r="M34" s="1"/>
  <c r="S34" i="7"/>
  <c r="Y34" s="1"/>
  <c r="L31" i="8"/>
  <c r="M31" s="1"/>
  <c r="L30"/>
  <c r="M30" s="1"/>
  <c r="S31" i="7"/>
  <c r="Y31" s="1"/>
  <c r="S30"/>
  <c r="Y30" s="1"/>
  <c r="L27" i="8"/>
  <c r="M27" s="1"/>
  <c r="L26"/>
  <c r="M26" s="1"/>
  <c r="S27" i="7"/>
  <c r="Y27" s="1"/>
  <c r="S26"/>
  <c r="Y26" s="1"/>
  <c r="L23" i="8"/>
  <c r="M23" s="1"/>
  <c r="S23" i="7"/>
  <c r="Y23" s="1"/>
  <c r="S22"/>
  <c r="Y22" s="1"/>
  <c r="S21"/>
  <c r="Y21" s="1"/>
  <c r="L18" i="8"/>
  <c r="M18" s="1"/>
  <c r="S10" i="7"/>
  <c r="Y10" s="1"/>
  <c r="L9" i="8"/>
  <c r="M9" s="1"/>
  <c r="S12" i="7"/>
  <c r="Y12" s="1"/>
  <c r="S13"/>
  <c r="Y13" s="1"/>
  <c r="L13" i="8"/>
  <c r="M13" s="1"/>
  <c r="S16" i="7"/>
  <c r="Y16" s="1"/>
  <c r="AE16" s="1"/>
  <c r="S17"/>
  <c r="Y17" s="1"/>
  <c r="L7" i="8"/>
  <c r="M7" s="1"/>
  <c r="L38"/>
  <c r="M38" s="1"/>
  <c r="L22"/>
  <c r="M22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L44"/>
  <c r="M44" s="1"/>
  <c r="F44"/>
  <c r="G44" s="1"/>
  <c r="L42"/>
  <c r="M42" s="1"/>
  <c r="L41"/>
  <c r="M41" s="1"/>
  <c r="F41"/>
  <c r="G41" s="1"/>
  <c r="L40"/>
  <c r="M40" s="1"/>
  <c r="L37"/>
  <c r="M37" s="1"/>
  <c r="F37"/>
  <c r="G37" s="1"/>
  <c r="L36"/>
  <c r="M36" s="1"/>
  <c r="F36"/>
  <c r="G36" s="1"/>
  <c r="F34"/>
  <c r="G34" s="1"/>
  <c r="L33"/>
  <c r="M33" s="1"/>
  <c r="L32"/>
  <c r="M32" s="1"/>
  <c r="L29"/>
  <c r="M29" s="1"/>
  <c r="L28"/>
  <c r="M28" s="1"/>
  <c r="L25"/>
  <c r="M25" s="1"/>
  <c r="F25"/>
  <c r="G25" s="1"/>
  <c r="L24"/>
  <c r="M24" s="1"/>
  <c r="F24"/>
  <c r="G24" s="1"/>
  <c r="L21"/>
  <c r="M21" s="1"/>
  <c r="L20"/>
  <c r="M20" s="1"/>
  <c r="L19"/>
  <c r="M19" s="1"/>
  <c r="L16"/>
  <c r="M16" s="1"/>
  <c r="L15"/>
  <c r="M15" s="1"/>
  <c r="F15"/>
  <c r="G15" s="1"/>
  <c r="L14"/>
  <c r="M14" s="1"/>
  <c r="L12"/>
  <c r="M12" s="1"/>
  <c r="L11"/>
  <c r="M11" s="1"/>
  <c r="F11"/>
  <c r="G11" s="1"/>
  <c r="L10"/>
  <c r="M10" s="1"/>
  <c r="L8"/>
  <c r="M8" s="1"/>
  <c r="F8"/>
  <c r="G8" s="1"/>
  <c r="S28" i="7" l="1"/>
  <c r="Y28" s="1"/>
  <c r="S45"/>
  <c r="Y45" s="1"/>
  <c r="S20"/>
  <c r="Y20" s="1"/>
  <c r="S29"/>
  <c r="Y29" s="1"/>
  <c r="S36"/>
  <c r="S15"/>
  <c r="Y15" s="1"/>
  <c r="L47"/>
  <c r="F27" i="8"/>
  <c r="G27" s="1"/>
  <c r="O27" s="1"/>
  <c r="F26"/>
  <c r="G26" s="1"/>
  <c r="F40"/>
  <c r="G40" s="1"/>
  <c r="F38"/>
  <c r="G38" s="1"/>
  <c r="F32"/>
  <c r="G32" s="1"/>
  <c r="O32" s="1"/>
  <c r="F29"/>
  <c r="G29" s="1"/>
  <c r="O29" s="1"/>
  <c r="F28"/>
  <c r="G28" s="1"/>
  <c r="F21"/>
  <c r="G21" s="1"/>
  <c r="F20"/>
  <c r="G20" s="1"/>
  <c r="O20" s="1"/>
  <c r="F14"/>
  <c r="G14" s="1"/>
  <c r="F13"/>
  <c r="G13" s="1"/>
  <c r="F10"/>
  <c r="G10" s="1"/>
  <c r="F7"/>
  <c r="G7" s="1"/>
  <c r="F8" i="7"/>
  <c r="T21"/>
  <c r="T27"/>
  <c r="T31"/>
  <c r="F33" i="8"/>
  <c r="G33" s="1"/>
  <c r="O33" s="1"/>
  <c r="S35" i="7"/>
  <c r="Y35" s="1"/>
  <c r="T39"/>
  <c r="T43"/>
  <c r="T45"/>
  <c r="F19" i="8"/>
  <c r="G19" s="1"/>
  <c r="O19" s="1"/>
  <c r="T20" i="7"/>
  <c r="F22" i="8"/>
  <c r="G22" s="1"/>
  <c r="O22" s="1"/>
  <c r="S24" i="7"/>
  <c r="Y24" s="1"/>
  <c r="T23"/>
  <c r="T22"/>
  <c r="T26"/>
  <c r="T30"/>
  <c r="T34"/>
  <c r="T38"/>
  <c r="T42"/>
  <c r="T46"/>
  <c r="F18" i="8"/>
  <c r="G18" s="1"/>
  <c r="O18" s="1"/>
  <c r="F19" i="7"/>
  <c r="F23" i="8"/>
  <c r="G23" s="1"/>
  <c r="S25" i="7"/>
  <c r="Y25" s="1"/>
  <c r="T29"/>
  <c r="F31" i="8"/>
  <c r="G31" s="1"/>
  <c r="O31" s="1"/>
  <c r="S33" i="7"/>
  <c r="Y33" s="1"/>
  <c r="F35" i="8"/>
  <c r="G35" s="1"/>
  <c r="O35" s="1"/>
  <c r="S37" i="7"/>
  <c r="Y37" s="1"/>
  <c r="F39" i="8"/>
  <c r="G39" s="1"/>
  <c r="O39" s="1"/>
  <c r="S41" i="7"/>
  <c r="Y41" s="1"/>
  <c r="F43" i="8"/>
  <c r="G43" s="1"/>
  <c r="F30"/>
  <c r="G30" s="1"/>
  <c r="O30" s="1"/>
  <c r="S32" i="7"/>
  <c r="Y32" s="1"/>
  <c r="T40"/>
  <c r="F42" i="8"/>
  <c r="G42" s="1"/>
  <c r="S44" i="7"/>
  <c r="Y44" s="1"/>
  <c r="T16"/>
  <c r="T12"/>
  <c r="T17"/>
  <c r="T13"/>
  <c r="F16" i="8"/>
  <c r="G16" s="1"/>
  <c r="O16" s="1"/>
  <c r="S18" i="7"/>
  <c r="Y18" s="1"/>
  <c r="F12" i="8"/>
  <c r="G12" s="1"/>
  <c r="O12" s="1"/>
  <c r="S14" i="7"/>
  <c r="Y14" s="1"/>
  <c r="T10"/>
  <c r="T15"/>
  <c r="F9" i="8"/>
  <c r="G9" s="1"/>
  <c r="O9" s="1"/>
  <c r="S11" i="7"/>
  <c r="Y11" s="1"/>
  <c r="M47"/>
  <c r="N47" s="1"/>
  <c r="N8"/>
  <c r="O7" i="8"/>
  <c r="O8"/>
  <c r="O25"/>
  <c r="O41"/>
  <c r="O24"/>
  <c r="O26"/>
  <c r="O28"/>
  <c r="O34"/>
  <c r="O36"/>
  <c r="O38"/>
  <c r="O40"/>
  <c r="O42"/>
  <c r="O44"/>
  <c r="O23"/>
  <c r="O21"/>
  <c r="O37"/>
  <c r="O43"/>
  <c r="O10"/>
  <c r="O14"/>
  <c r="O11"/>
  <c r="O13"/>
  <c r="O15"/>
  <c r="T36" i="7" l="1"/>
  <c r="Y36"/>
  <c r="T28"/>
  <c r="F47"/>
  <c r="T37"/>
  <c r="AD39"/>
  <c r="AE39" s="1"/>
  <c r="T32"/>
  <c r="T44"/>
  <c r="AD46"/>
  <c r="AE46" s="1"/>
  <c r="AD45"/>
  <c r="AE45" s="1"/>
  <c r="T41"/>
  <c r="T33"/>
  <c r="T25"/>
  <c r="T24"/>
  <c r="T35"/>
  <c r="T18"/>
  <c r="T11"/>
  <c r="T14"/>
  <c r="U19"/>
  <c r="U8"/>
  <c r="T19" l="1"/>
  <c r="T8"/>
  <c r="AD41"/>
  <c r="AE41" s="1"/>
  <c r="U47"/>
  <c r="Q8"/>
  <c r="Q19"/>
  <c r="AC19" l="1"/>
  <c r="AC8"/>
  <c r="AD19"/>
  <c r="AD8"/>
  <c r="B7" i="8"/>
  <c r="Q47" i="7"/>
  <c r="R19"/>
  <c r="R8"/>
  <c r="Z47"/>
  <c r="AA47"/>
  <c r="AB47"/>
  <c r="AC47" l="1"/>
  <c r="AD47"/>
  <c r="H7" i="8"/>
  <c r="E7"/>
  <c r="N7"/>
  <c r="R47" i="7"/>
  <c r="B13" i="8"/>
  <c r="B9"/>
  <c r="B20"/>
  <c r="B24"/>
  <c r="B28"/>
  <c r="B32"/>
  <c r="B36"/>
  <c r="B40"/>
  <c r="B44"/>
  <c r="H32" l="1"/>
  <c r="E32"/>
  <c r="N32"/>
  <c r="E36"/>
  <c r="H36"/>
  <c r="N36"/>
  <c r="E20"/>
  <c r="N20"/>
  <c r="H20"/>
  <c r="N40"/>
  <c r="H40"/>
  <c r="E40"/>
  <c r="E24"/>
  <c r="N24"/>
  <c r="H24"/>
  <c r="E44"/>
  <c r="N44"/>
  <c r="H44"/>
  <c r="N28"/>
  <c r="E28"/>
  <c r="H28"/>
  <c r="N13"/>
  <c r="E13"/>
  <c r="H13"/>
  <c r="E9"/>
  <c r="H9"/>
  <c r="N9"/>
  <c r="B38"/>
  <c r="B29"/>
  <c r="B26"/>
  <c r="B34"/>
  <c r="B23"/>
  <c r="B37"/>
  <c r="B31"/>
  <c r="B39"/>
  <c r="B12"/>
  <c r="B15"/>
  <c r="B35"/>
  <c r="B41"/>
  <c r="B18"/>
  <c r="S19" i="7"/>
  <c r="S8"/>
  <c r="B43" i="8"/>
  <c r="B27"/>
  <c r="B10"/>
  <c r="B42"/>
  <c r="B30"/>
  <c r="B19"/>
  <c r="B11"/>
  <c r="B22"/>
  <c r="B33"/>
  <c r="B8"/>
  <c r="B14"/>
  <c r="B21"/>
  <c r="B16"/>
  <c r="B25"/>
  <c r="H22" l="1"/>
  <c r="E22"/>
  <c r="N22"/>
  <c r="N35"/>
  <c r="E35"/>
  <c r="H35"/>
  <c r="E33"/>
  <c r="H33"/>
  <c r="N33"/>
  <c r="H30"/>
  <c r="E30"/>
  <c r="N30"/>
  <c r="E43"/>
  <c r="H43"/>
  <c r="N43"/>
  <c r="N41"/>
  <c r="E41"/>
  <c r="H41"/>
  <c r="E39"/>
  <c r="H39"/>
  <c r="N39"/>
  <c r="H34"/>
  <c r="E34"/>
  <c r="N34"/>
  <c r="Y19" i="7"/>
  <c r="E25" i="8"/>
  <c r="H25"/>
  <c r="N25"/>
  <c r="E19"/>
  <c r="H19"/>
  <c r="N19"/>
  <c r="N27"/>
  <c r="E27"/>
  <c r="H27"/>
  <c r="H18"/>
  <c r="N18"/>
  <c r="E18"/>
  <c r="N23"/>
  <c r="H23"/>
  <c r="E23"/>
  <c r="E38"/>
  <c r="H38"/>
  <c r="N38"/>
  <c r="H21"/>
  <c r="E21"/>
  <c r="N21"/>
  <c r="E42"/>
  <c r="H42"/>
  <c r="N42"/>
  <c r="E31"/>
  <c r="N31"/>
  <c r="H31"/>
  <c r="E26"/>
  <c r="N26"/>
  <c r="H26"/>
  <c r="H37"/>
  <c r="E37"/>
  <c r="N37"/>
  <c r="H29"/>
  <c r="E29"/>
  <c r="N29"/>
  <c r="N8"/>
  <c r="H8"/>
  <c r="E8"/>
  <c r="H12"/>
  <c r="N12"/>
  <c r="E12"/>
  <c r="H16"/>
  <c r="N16"/>
  <c r="E16"/>
  <c r="E14"/>
  <c r="H14"/>
  <c r="N14"/>
  <c r="H11"/>
  <c r="E11"/>
  <c r="N11"/>
  <c r="E10"/>
  <c r="N10"/>
  <c r="H10"/>
  <c r="N15"/>
  <c r="H15"/>
  <c r="E15"/>
  <c r="AE8" i="7"/>
  <c r="Y8"/>
  <c r="AE19"/>
  <c r="S47"/>
  <c r="P47" s="1"/>
  <c r="Y47" l="1"/>
  <c r="H17" i="8"/>
  <c r="H6"/>
  <c r="T47" i="7"/>
  <c r="AE47"/>
  <c r="H45" i="8" l="1"/>
  <c r="N6"/>
  <c r="B17"/>
  <c r="N17"/>
  <c r="B6"/>
  <c r="E6"/>
  <c r="E17"/>
  <c r="B45" l="1"/>
  <c r="E45"/>
  <c r="N45"/>
</calcChain>
</file>

<file path=xl/sharedStrings.xml><?xml version="1.0" encoding="utf-8"?>
<sst xmlns="http://schemas.openxmlformats.org/spreadsheetml/2006/main" count="375" uniqueCount="98">
  <si>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</si>
  <si>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</si>
  <si>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</si>
  <si>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</si>
  <si>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</si>
  <si>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</si>
  <si>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</si>
  <si>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</si>
  <si>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</si>
  <si>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</si>
  <si>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</si>
  <si>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</si>
  <si>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</si>
  <si>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</si>
  <si>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</si>
  <si>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</si>
  <si>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</si>
  <si>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</si>
  <si>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</si>
  <si>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</si>
  <si>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</si>
  <si>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</si>
  <si>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</si>
  <si>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</si>
  <si>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</si>
  <si>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</si>
  <si>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</si>
  <si>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</si>
  <si>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</si>
  <si>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</si>
  <si>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</si>
  <si>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</si>
  <si>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</si>
  <si>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</si>
  <si>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</si>
  <si>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</si>
  <si>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</si>
  <si>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</si>
  <si>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</si>
  <si>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</si>
  <si>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</si>
  <si>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</si>
  <si>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</si>
  <si>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</si>
  <si>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</si>
  <si>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</si>
  <si>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</si>
  <si>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</si>
  <si>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</si>
  <si>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</si>
  <si>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</si>
  <si>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</si>
  <si>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</si>
  <si>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</si>
  <si>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</si>
  <si>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</si>
  <si>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 xml:space="preserve"> + / -
(5)=(2)*(3)/(6)</t>
  </si>
  <si>
    <t>Объем алкогольной продукции, зафиксированный в единой государственной автоматизированной информационной системе (дкл.)</t>
  </si>
  <si>
    <t>Эффективность муниципального земельного контроля (единиц)</t>
  </si>
  <si>
    <t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</si>
  <si>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</si>
  <si>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</si>
  <si>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</si>
  <si>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</si>
  <si>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</si>
  <si>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14=12/13</t>
  </si>
  <si>
    <t>19=16*18</t>
  </si>
  <si>
    <t>20=19-18</t>
  </si>
  <si>
    <t>н/д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</si>
  <si>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</si>
  <si>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</si>
  <si>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</si>
  <si>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(8)=(2)*(6)/(15)</t>
  </si>
  <si>
    <t xml:space="preserve"> + / -
(11)=(2)*(9)/(15)</t>
  </si>
  <si>
    <t xml:space="preserve"> + / -
(14)=(2)*(12)/(15)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</si>
  <si>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</si>
  <si>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</si>
  <si>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</si>
  <si>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</si>
  <si>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</si>
  <si>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</si>
  <si>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дотации в 2022 году, тыс. рублей</t>
  </si>
  <si>
    <t>МО у которых доля дотаций на выравнивание бюджетной обеспеченности в доходах бюджета (без учета субвенций) за 2021 год &gt; 15 %</t>
  </si>
  <si>
    <t>Размер ежемесячного удержания дотаций в связи с исполнением показателей за 2021 год, тыс. рублей</t>
  </si>
  <si>
    <t>За 4 месяца 2022 года</t>
  </si>
  <si>
    <t>Факторный анализ влияния отдельных показателей на итоговое распределение за 4 месяца 2022 года</t>
  </si>
  <si>
    <t>18=17/11мес.*4</t>
  </si>
  <si>
    <t>за март</t>
  </si>
  <si>
    <t>Удержано дотаций в 2022 году в связи с исполнением показателей за 2021 год, тыс. рублей</t>
  </si>
  <si>
    <t>25=19-(21+…+24)</t>
  </si>
  <si>
    <t>Соблюдение условий предоставления дотаций*:</t>
  </si>
  <si>
    <t>непривлечение кредитов кредитных организаций в апреле 2022 года</t>
  </si>
  <si>
    <t>МО, муниципальный долг которых на 01.05.2022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</si>
  <si>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апреле 2022 года (не применяется если объем долга на 01.05.2022 не превышает его объем по состоянию на начало 2022 года)</t>
  </si>
  <si>
    <t>Распределение дотаций за апрель за вычетом предоставлен-ных дотаций за январь-март, тыс. рублей</t>
  </si>
  <si>
    <t>Распределение дотаций за апрель с учетом выполнения условий предоставления дотаций, тыс. рублей</t>
  </si>
  <si>
    <t>Распределение дотаций за апрель с учетом удержания и выполнения условий предоставления дотаций, тыс. рублей</t>
  </si>
  <si>
    <t>31=29-30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</si>
</sst>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107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166" fontId="16" fillId="15" borderId="3" xfId="0" applyNumberFormat="1" applyFont="1" applyFill="1" applyBorder="1" applyAlignment="1">
      <alignment horizontal="center"/>
    </xf>
    <xf numFmtId="0" fontId="21" fillId="16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5" fillId="13" borderId="3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  <xf numFmtId="0" fontId="14" fillId="14" borderId="3" xfId="44" applyFont="1" applyFill="1" applyBorder="1" applyAlignment="1">
      <alignment vertical="top" wrapText="1"/>
    </xf>
    <xf numFmtId="3" fontId="13" fillId="14" borderId="3" xfId="0" applyNumberFormat="1" applyFont="1" applyFill="1" applyBorder="1" applyAlignment="1">
      <alignment horizontal="center" vertical="center"/>
    </xf>
    <xf numFmtId="168" fontId="13" fillId="14" borderId="3" xfId="0" applyNumberFormat="1" applyFont="1" applyFill="1" applyBorder="1" applyAlignment="1">
      <alignment horizontal="right" vertical="center"/>
    </xf>
    <xf numFmtId="4" fontId="13" fillId="14" borderId="3" xfId="0" applyNumberFormat="1" applyFont="1" applyFill="1" applyBorder="1" applyAlignment="1">
      <alignment horizontal="center" vertical="center"/>
    </xf>
    <xf numFmtId="165" fontId="13" fillId="14" borderId="3" xfId="0" applyNumberFormat="1" applyFont="1" applyFill="1" applyBorder="1" applyAlignment="1">
      <alignment horizontal="right" vertical="center"/>
    </xf>
    <xf numFmtId="3" fontId="13" fillId="14" borderId="3" xfId="0" applyNumberFormat="1" applyFont="1" applyFill="1" applyBorder="1" applyAlignment="1">
      <alignment horizontal="right" vertical="center"/>
    </xf>
    <xf numFmtId="166" fontId="13" fillId="14" borderId="3" xfId="0" applyNumberFormat="1" applyFont="1" applyFill="1" applyBorder="1" applyAlignment="1">
      <alignment horizontal="right" vertical="center"/>
    </xf>
    <xf numFmtId="166" fontId="13" fillId="14" borderId="3" xfId="0" applyNumberFormat="1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vertical="center"/>
    </xf>
    <xf numFmtId="166" fontId="2" fillId="14" borderId="0" xfId="0" applyNumberFormat="1" applyFont="1" applyFill="1" applyBorder="1" applyAlignment="1">
      <alignment vertical="center"/>
    </xf>
    <xf numFmtId="0" fontId="13" fillId="14" borderId="0" xfId="0" applyFont="1" applyFill="1" applyBorder="1" applyAlignment="1">
      <alignment vertical="center"/>
    </xf>
    <xf numFmtId="0" fontId="18" fillId="14" borderId="3" xfId="44" applyFont="1" applyFill="1" applyBorder="1" applyAlignment="1">
      <alignment vertical="top" wrapText="1"/>
    </xf>
    <xf numFmtId="166" fontId="16" fillId="14" borderId="3" xfId="0" applyNumberFormat="1" applyFont="1" applyFill="1" applyBorder="1" applyAlignment="1">
      <alignment horizontal="right" vertical="center"/>
    </xf>
    <xf numFmtId="167" fontId="16" fillId="14" borderId="3" xfId="0" applyNumberFormat="1" applyFont="1" applyFill="1" applyBorder="1" applyAlignment="1">
      <alignment horizontal="center"/>
    </xf>
    <xf numFmtId="166" fontId="16" fillId="14" borderId="3" xfId="0" applyNumberFormat="1" applyFont="1" applyFill="1" applyBorder="1"/>
    <xf numFmtId="166" fontId="16" fillId="14" borderId="3" xfId="0" applyNumberFormat="1" applyFont="1" applyFill="1" applyBorder="1" applyAlignment="1">
      <alignment horizontal="center"/>
    </xf>
    <xf numFmtId="167" fontId="16" fillId="14" borderId="3" xfId="0" applyNumberFormat="1" applyFont="1" applyFill="1" applyBorder="1"/>
    <xf numFmtId="0" fontId="0" fillId="14" borderId="0" xfId="0" applyFont="1" applyFill="1"/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F9999"/>
      <color rgb="FFFFFFCC"/>
      <color rgb="FFCCFF99"/>
      <color rgb="FF6699FF"/>
      <color rgb="FFCCCCFF"/>
      <color rgb="FF99CCFF"/>
      <color rgb="FFCCECFF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L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M15" sqref="M15"/>
    </sheetView>
  </sheetViews>
  <sheetFormatPr defaultColWidth="9.140625" defaultRowHeight="12.75"/>
  <cols>
    <col min="1" max="1" width="35.42578125" style="1" customWidth="1"/>
    <col min="2" max="2" width="13.7109375" style="1" customWidth="1"/>
    <col min="3" max="3" width="10.140625" style="1" customWidth="1"/>
    <col min="4" max="5" width="11.85546875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140625" style="1" customWidth="1"/>
    <col min="14" max="14" width="13.570312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5.85546875" style="1" customWidth="1"/>
    <col min="19" max="19" width="13.5703125" style="1" customWidth="1"/>
    <col min="20" max="20" width="14.28515625" style="1" customWidth="1"/>
    <col min="21" max="23" width="12.28515625" style="1" customWidth="1"/>
    <col min="24" max="24" width="11.5703125" style="1" customWidth="1"/>
    <col min="25" max="25" width="16.5703125" style="1" customWidth="1"/>
    <col min="26" max="26" width="18.42578125" style="1" customWidth="1"/>
    <col min="27" max="27" width="18.85546875" style="1" customWidth="1"/>
    <col min="28" max="28" width="19.7109375" style="1" customWidth="1"/>
    <col min="29" max="29" width="13.5703125" style="1" customWidth="1"/>
    <col min="30" max="30" width="13" style="1" customWidth="1"/>
    <col min="31" max="31" width="13.42578125" style="1" customWidth="1"/>
    <col min="32" max="32" width="36.28515625" style="1" bestFit="1" customWidth="1"/>
    <col min="33" max="33" width="13.7109375" style="1" bestFit="1" customWidth="1"/>
    <col min="34" max="34" width="12.5703125" style="1" bestFit="1" customWidth="1"/>
    <col min="35" max="35" width="10.5703125" style="1" bestFit="1" customWidth="1"/>
    <col min="36" max="16384" width="9.140625" style="1"/>
  </cols>
  <sheetData>
    <row r="1" spans="1:38" ht="21.75" customHeight="1">
      <c r="B1" s="61" t="s">
        <v>53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</row>
    <row r="2" spans="1:38" ht="15.75">
      <c r="A2" s="35" t="s">
        <v>84</v>
      </c>
    </row>
    <row r="3" spans="1:38" ht="25.5" customHeight="1">
      <c r="A3" s="64" t="s">
        <v>15</v>
      </c>
      <c r="B3" s="73" t="s">
        <v>54</v>
      </c>
      <c r="C3" s="73"/>
      <c r="D3" s="74" t="s">
        <v>57</v>
      </c>
      <c r="E3" s="74"/>
      <c r="F3" s="74"/>
      <c r="G3" s="74"/>
      <c r="H3" s="74" t="s">
        <v>58</v>
      </c>
      <c r="I3" s="74"/>
      <c r="J3" s="74"/>
      <c r="K3" s="74"/>
      <c r="L3" s="74" t="s">
        <v>59</v>
      </c>
      <c r="M3" s="74"/>
      <c r="N3" s="74"/>
      <c r="O3" s="74"/>
      <c r="P3" s="72" t="s">
        <v>47</v>
      </c>
      <c r="Q3" s="71" t="s">
        <v>77</v>
      </c>
      <c r="R3" s="64" t="s">
        <v>78</v>
      </c>
      <c r="S3" s="64" t="s">
        <v>79</v>
      </c>
      <c r="T3" s="64" t="s">
        <v>80</v>
      </c>
      <c r="U3" s="75" t="s">
        <v>81</v>
      </c>
      <c r="V3" s="76"/>
      <c r="W3" s="77"/>
      <c r="X3" s="68" t="s">
        <v>88</v>
      </c>
      <c r="Y3" s="64" t="s">
        <v>94</v>
      </c>
      <c r="Z3" s="66" t="s">
        <v>90</v>
      </c>
      <c r="AA3" s="66"/>
      <c r="AB3" s="67"/>
      <c r="AC3" s="64" t="s">
        <v>95</v>
      </c>
      <c r="AD3" s="64" t="s">
        <v>83</v>
      </c>
      <c r="AE3" s="64" t="s">
        <v>96</v>
      </c>
    </row>
    <row r="4" spans="1:38" ht="36" customHeight="1">
      <c r="A4" s="64"/>
      <c r="B4" s="73"/>
      <c r="C4" s="73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2"/>
      <c r="Q4" s="71"/>
      <c r="R4" s="64"/>
      <c r="S4" s="64"/>
      <c r="T4" s="64"/>
      <c r="U4" s="78"/>
      <c r="V4" s="79"/>
      <c r="W4" s="80"/>
      <c r="X4" s="69"/>
      <c r="Y4" s="64"/>
      <c r="Z4" s="65" t="s">
        <v>91</v>
      </c>
      <c r="AA4" s="65"/>
      <c r="AB4" s="65" t="s">
        <v>93</v>
      </c>
      <c r="AC4" s="64"/>
      <c r="AD4" s="64"/>
      <c r="AE4" s="64"/>
    </row>
    <row r="5" spans="1:38" ht="87" customHeight="1">
      <c r="A5" s="64"/>
      <c r="B5" s="73"/>
      <c r="C5" s="73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2"/>
      <c r="Q5" s="71"/>
      <c r="R5" s="64"/>
      <c r="S5" s="64"/>
      <c r="T5" s="64"/>
      <c r="U5" s="64" t="s">
        <v>75</v>
      </c>
      <c r="V5" s="64" t="s">
        <v>76</v>
      </c>
      <c r="W5" s="64" t="s">
        <v>87</v>
      </c>
      <c r="X5" s="69"/>
      <c r="Y5" s="64"/>
      <c r="Z5" s="65" t="s">
        <v>82</v>
      </c>
      <c r="AA5" s="65" t="s">
        <v>92</v>
      </c>
      <c r="AB5" s="65"/>
      <c r="AC5" s="64"/>
      <c r="AD5" s="64"/>
      <c r="AE5" s="64"/>
    </row>
    <row r="6" spans="1:38" ht="45.75" customHeight="1">
      <c r="A6" s="64"/>
      <c r="B6" s="45" t="s">
        <v>48</v>
      </c>
      <c r="C6" s="45" t="s">
        <v>16</v>
      </c>
      <c r="D6" s="51" t="s">
        <v>60</v>
      </c>
      <c r="E6" s="51" t="s">
        <v>61</v>
      </c>
      <c r="F6" s="51" t="s">
        <v>62</v>
      </c>
      <c r="G6" s="51" t="s">
        <v>16</v>
      </c>
      <c r="H6" s="51" t="s">
        <v>60</v>
      </c>
      <c r="I6" s="51" t="s">
        <v>61</v>
      </c>
      <c r="J6" s="51" t="s">
        <v>62</v>
      </c>
      <c r="K6" s="51" t="s">
        <v>16</v>
      </c>
      <c r="L6" s="51" t="s">
        <v>60</v>
      </c>
      <c r="M6" s="51" t="s">
        <v>61</v>
      </c>
      <c r="N6" s="51" t="s">
        <v>62</v>
      </c>
      <c r="O6" s="51" t="s">
        <v>16</v>
      </c>
      <c r="P6" s="72"/>
      <c r="Q6" s="71"/>
      <c r="R6" s="64"/>
      <c r="S6" s="64"/>
      <c r="T6" s="64"/>
      <c r="U6" s="64"/>
      <c r="V6" s="64"/>
      <c r="W6" s="64"/>
      <c r="X6" s="70"/>
      <c r="Y6" s="64"/>
      <c r="Z6" s="65"/>
      <c r="AA6" s="65"/>
      <c r="AB6" s="65"/>
      <c r="AC6" s="64"/>
      <c r="AD6" s="64"/>
      <c r="AE6" s="64"/>
    </row>
    <row r="7" spans="1:38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63</v>
      </c>
      <c r="G7" s="13">
        <v>7</v>
      </c>
      <c r="H7" s="13">
        <v>8</v>
      </c>
      <c r="I7" s="13">
        <v>9</v>
      </c>
      <c r="J7" s="13" t="s">
        <v>64</v>
      </c>
      <c r="K7" s="13">
        <v>11</v>
      </c>
      <c r="L7" s="13">
        <v>12</v>
      </c>
      <c r="M7" s="13">
        <v>13</v>
      </c>
      <c r="N7" s="13" t="s">
        <v>65</v>
      </c>
      <c r="O7" s="13">
        <v>15</v>
      </c>
      <c r="P7" s="13">
        <v>16</v>
      </c>
      <c r="Q7" s="13">
        <v>17</v>
      </c>
      <c r="R7" s="13" t="s">
        <v>86</v>
      </c>
      <c r="S7" s="13" t="s">
        <v>66</v>
      </c>
      <c r="T7" s="13" t="s">
        <v>67</v>
      </c>
      <c r="U7" s="13">
        <v>21</v>
      </c>
      <c r="V7" s="13">
        <v>22</v>
      </c>
      <c r="W7" s="13">
        <v>23</v>
      </c>
      <c r="X7" s="13">
        <v>24</v>
      </c>
      <c r="Y7" s="58" t="s">
        <v>89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58" t="s">
        <v>97</v>
      </c>
      <c r="AF7" s="1"/>
      <c r="AG7" s="1"/>
      <c r="AH7" s="1"/>
      <c r="AI7" s="1"/>
      <c r="AJ7" s="1"/>
      <c r="AK7" s="1"/>
      <c r="AL7" s="1"/>
    </row>
    <row r="8" spans="1:38" s="3" customFormat="1" ht="32.85" customHeight="1">
      <c r="A8" s="20" t="s">
        <v>49</v>
      </c>
      <c r="B8" s="9"/>
      <c r="C8" s="9"/>
      <c r="D8" s="18">
        <f>SUM(D9:D18)</f>
        <v>395249</v>
      </c>
      <c r="E8" s="18">
        <f>SUM(E9:E18)</f>
        <v>427761.19999999995</v>
      </c>
      <c r="F8" s="52">
        <f>IF(E8/D8&gt;1.2,IF((E8/D8-1.2)*0.1+1.2&gt;1.3,1.3,(E8/D8-1.2)*0.1+1.2),E8/D8)</f>
        <v>1.0822575136179977</v>
      </c>
      <c r="G8" s="9"/>
      <c r="H8" s="9"/>
      <c r="I8" s="9"/>
      <c r="J8" s="9"/>
      <c r="K8" s="9"/>
      <c r="L8" s="18">
        <f>SUM(L9:L18)</f>
        <v>1821.3999999999999</v>
      </c>
      <c r="M8" s="18">
        <f>SUM(M9:M18)</f>
        <v>1225.8999999999999</v>
      </c>
      <c r="N8" s="52">
        <f>IF(L8/M8&gt;1.2,IF((L8/M8-1.2)*0.1+1.2&gt;1.3,1.3,(L8/M8-1.2)*0.1+1.2),L8/M8)</f>
        <v>1.2285765559996737</v>
      </c>
      <c r="O8" s="9"/>
      <c r="P8" s="10"/>
      <c r="Q8" s="48">
        <f>SUM(Q9:Q18)</f>
        <v>2127375</v>
      </c>
      <c r="R8" s="18">
        <f>SUM(R9:R18)</f>
        <v>773590.9</v>
      </c>
      <c r="S8" s="18">
        <f>SUM(S9:S18)</f>
        <v>806285.29999999993</v>
      </c>
      <c r="T8" s="18">
        <f>SUM(T9:T18)</f>
        <v>32694.399999999983</v>
      </c>
      <c r="U8" s="18">
        <f t="shared" ref="U8" si="0">SUM(U9:U18)</f>
        <v>175259.5</v>
      </c>
      <c r="V8" s="18">
        <f>SUM(V9:V18)</f>
        <v>175259.7</v>
      </c>
      <c r="W8" s="18">
        <f>SUM(W9:W18)</f>
        <v>219413.6</v>
      </c>
      <c r="X8" s="18">
        <f>SUM(X9:X18)</f>
        <v>23205.399999999998</v>
      </c>
      <c r="Y8" s="18">
        <f>SUM(Y9:Y18)</f>
        <v>213147.1</v>
      </c>
      <c r="Z8" s="18"/>
      <c r="AA8" s="18"/>
      <c r="AB8" s="18"/>
      <c r="AC8" s="18">
        <f>SUM(AC9:AC18)</f>
        <v>213147.1</v>
      </c>
      <c r="AD8" s="18">
        <f>SUM(AD9:AD18)</f>
        <v>20453.2</v>
      </c>
      <c r="AE8" s="18">
        <f>SUM(AE9:AE18)</f>
        <v>192693.90000000002</v>
      </c>
      <c r="AF8" s="1"/>
      <c r="AG8" s="1"/>
      <c r="AH8" s="1"/>
      <c r="AI8" s="1"/>
      <c r="AJ8" s="1"/>
      <c r="AK8" s="1"/>
      <c r="AL8" s="1"/>
    </row>
    <row r="9" spans="1:38" s="2" customFormat="1" ht="16.5" customHeight="1">
      <c r="A9" s="5" t="s">
        <v>5</v>
      </c>
      <c r="B9" s="4">
        <v>1</v>
      </c>
      <c r="C9" s="4">
        <v>15</v>
      </c>
      <c r="D9" s="53">
        <v>211985</v>
      </c>
      <c r="E9" s="53">
        <v>225803.9</v>
      </c>
      <c r="F9" s="54">
        <f>IF(G9=0,0,IF(D9=0,1,IF(E9&lt;0,0,IF(E9/D9&gt;1.2,IF((E9/D9-1.2)*0.1+1.2&gt;1.3,1.3,(E9/D9-1.2)*0.1+1.2),E9/D9))))</f>
        <v>1.0651881029318111</v>
      </c>
      <c r="G9" s="4">
        <v>15</v>
      </c>
      <c r="H9" s="4" t="s">
        <v>68</v>
      </c>
      <c r="I9" s="4" t="s">
        <v>68</v>
      </c>
      <c r="J9" s="54" t="s">
        <v>68</v>
      </c>
      <c r="K9" s="4">
        <v>20</v>
      </c>
      <c r="L9" s="53">
        <v>602.79999999999995</v>
      </c>
      <c r="M9" s="53">
        <v>200.3</v>
      </c>
      <c r="N9" s="54">
        <f>IF(O9=0,0,IF(M9=0,1.3,IF(M9&lt;0,0,IF(L9/M9&gt;1.2,IF((L9/M9-1.2)*0.1+1.2&gt;1.3,1.3,(L9/M9-1.2)*0.1+1.2),L9/M9))))</f>
        <v>1.3</v>
      </c>
      <c r="O9" s="4">
        <v>15</v>
      </c>
      <c r="P9" s="24">
        <f>(B9*C9+F9*G9+N9*O9)/(C9+G9+O9)</f>
        <v>1.121729367643937</v>
      </c>
      <c r="Q9" s="49">
        <v>370251</v>
      </c>
      <c r="R9" s="19">
        <f>ROUND(Q9/11*4,1)</f>
        <v>134636.70000000001</v>
      </c>
      <c r="S9" s="19">
        <f>ROUND(P9*R9,1)</f>
        <v>151025.9</v>
      </c>
      <c r="T9" s="19">
        <f>S9-R9</f>
        <v>16389.199999999983</v>
      </c>
      <c r="U9" s="19">
        <v>33659.199999999997</v>
      </c>
      <c r="V9" s="19">
        <v>33659.199999999997</v>
      </c>
      <c r="W9" s="19">
        <v>45951</v>
      </c>
      <c r="X9" s="19"/>
      <c r="Y9" s="19">
        <f>ROUND(S9-SUM(U9:X9),1)</f>
        <v>37756.5</v>
      </c>
      <c r="Z9" s="43"/>
      <c r="AA9" s="43"/>
      <c r="AB9" s="44"/>
      <c r="AC9" s="19">
        <f>IF(OR(Z9="+",AA9="+",AB9="+"),0,Y9)</f>
        <v>37756.5</v>
      </c>
      <c r="AD9" s="43"/>
      <c r="AE9" s="19">
        <f>ROUND(AC9-AD9,1)</f>
        <v>37756.5</v>
      </c>
      <c r="AF9" s="1"/>
      <c r="AG9" s="1"/>
      <c r="AH9" s="1"/>
      <c r="AI9" s="1"/>
      <c r="AJ9" s="36"/>
      <c r="AK9" s="1"/>
      <c r="AL9" s="1"/>
    </row>
    <row r="10" spans="1:38" s="2" customFormat="1" ht="17.100000000000001" customHeight="1">
      <c r="A10" s="5" t="s">
        <v>6</v>
      </c>
      <c r="B10" s="4">
        <v>1</v>
      </c>
      <c r="C10" s="4">
        <v>15</v>
      </c>
      <c r="D10" s="53">
        <v>93942</v>
      </c>
      <c r="E10" s="53">
        <v>105404.7</v>
      </c>
      <c r="F10" s="54">
        <f t="shared" ref="F10:F45" si="1">IF(G10=0,0,IF(D10=0,1,IF(E10&lt;0,0,IF(E10/D10&gt;1.2,IF((E10/D10-1.2)*0.1+1.2&gt;1.3,1.3,(E10/D10-1.2)*0.1+1.2),E10/D10))))</f>
        <v>1.1220189052819824</v>
      </c>
      <c r="G10" s="4">
        <v>15</v>
      </c>
      <c r="H10" s="4" t="s">
        <v>68</v>
      </c>
      <c r="I10" s="4" t="s">
        <v>68</v>
      </c>
      <c r="J10" s="54" t="s">
        <v>68</v>
      </c>
      <c r="K10" s="4">
        <v>20</v>
      </c>
      <c r="L10" s="53">
        <v>184.7</v>
      </c>
      <c r="M10" s="53">
        <v>212.3</v>
      </c>
      <c r="N10" s="54">
        <f t="shared" ref="N10:N46" si="2">IF(O10=0,0,IF(M10=0,1.3,IF(M10&lt;0,0,IF(L10/M10&gt;1.2,IF((L10/M10-1.2)*0.1+1.2&gt;1.3,1.3,(L10/M10-1.2)*0.1+1.2),L10/M10))))</f>
        <v>0.86999528968440876</v>
      </c>
      <c r="O10" s="4">
        <v>15</v>
      </c>
      <c r="P10" s="24">
        <f t="shared" ref="P10:P46" si="3">(B10*C10+F10*G10+N10*O10)/(C10+G10+O10)</f>
        <v>0.99733806498879696</v>
      </c>
      <c r="Q10" s="49">
        <v>872487</v>
      </c>
      <c r="R10" s="19">
        <f t="shared" ref="R10:R45" si="4">ROUND(Q10/11*4,1)</f>
        <v>317268</v>
      </c>
      <c r="S10" s="19">
        <f t="shared" ref="S10:S46" si="5">ROUND(P10*R10,1)</f>
        <v>316423.5</v>
      </c>
      <c r="T10" s="19">
        <f t="shared" ref="T10:T18" si="6">S10-R10</f>
        <v>-844.5</v>
      </c>
      <c r="U10" s="19">
        <v>71421</v>
      </c>
      <c r="V10" s="19">
        <v>71421</v>
      </c>
      <c r="W10" s="19">
        <v>74646.3</v>
      </c>
      <c r="X10" s="19">
        <v>19829.3</v>
      </c>
      <c r="Y10" s="19">
        <f t="shared" ref="Y10:Y46" si="7">ROUND(S10-SUM(U10:X10),1)</f>
        <v>79105.899999999994</v>
      </c>
      <c r="Z10" s="43"/>
      <c r="AA10" s="43"/>
      <c r="AB10" s="44"/>
      <c r="AC10" s="19">
        <f t="shared" ref="AC10:AC18" si="8">IF(OR(Z10="+",AA10="+",AB10="+"),0,Y10)</f>
        <v>79105.899999999994</v>
      </c>
      <c r="AD10" s="43">
        <f>MIN(AC10,19829.3)</f>
        <v>19829.3</v>
      </c>
      <c r="AE10" s="19">
        <f t="shared" ref="AE10:AE46" si="9">ROUND(AC10-AD10,1)</f>
        <v>59276.6</v>
      </c>
      <c r="AF10" s="1"/>
      <c r="AG10" s="1"/>
      <c r="AH10" s="1"/>
      <c r="AI10" s="1"/>
      <c r="AJ10" s="36"/>
      <c r="AK10" s="1"/>
      <c r="AL10" s="1"/>
    </row>
    <row r="11" spans="1:38" s="2" customFormat="1" ht="17.100000000000001" customHeight="1">
      <c r="A11" s="5" t="s">
        <v>7</v>
      </c>
      <c r="B11" s="4">
        <v>1</v>
      </c>
      <c r="C11" s="4">
        <v>15</v>
      </c>
      <c r="D11" s="53">
        <v>28666</v>
      </c>
      <c r="E11" s="53">
        <v>30611.3</v>
      </c>
      <c r="F11" s="54">
        <f t="shared" si="1"/>
        <v>1.0678608804855927</v>
      </c>
      <c r="G11" s="4">
        <v>15</v>
      </c>
      <c r="H11" s="4" t="s">
        <v>68</v>
      </c>
      <c r="I11" s="4" t="s">
        <v>68</v>
      </c>
      <c r="J11" s="54" t="s">
        <v>68</v>
      </c>
      <c r="K11" s="4">
        <v>20</v>
      </c>
      <c r="L11" s="53">
        <v>199.7</v>
      </c>
      <c r="M11" s="53">
        <v>223.4</v>
      </c>
      <c r="N11" s="54">
        <f t="shared" si="2"/>
        <v>0.89391226499552368</v>
      </c>
      <c r="O11" s="4">
        <v>15</v>
      </c>
      <c r="P11" s="24">
        <f t="shared" si="3"/>
        <v>0.98725771516037208</v>
      </c>
      <c r="Q11" s="49">
        <v>250292</v>
      </c>
      <c r="R11" s="19">
        <f t="shared" si="4"/>
        <v>91015.3</v>
      </c>
      <c r="S11" s="19">
        <f t="shared" si="5"/>
        <v>89855.6</v>
      </c>
      <c r="T11" s="19">
        <f t="shared" si="6"/>
        <v>-1159.6999999999971</v>
      </c>
      <c r="U11" s="19">
        <v>20718</v>
      </c>
      <c r="V11" s="19">
        <v>20718</v>
      </c>
      <c r="W11" s="19">
        <v>25955.7</v>
      </c>
      <c r="X11" s="19"/>
      <c r="Y11" s="19">
        <f t="shared" si="7"/>
        <v>22463.9</v>
      </c>
      <c r="Z11" s="43"/>
      <c r="AA11" s="43"/>
      <c r="AB11" s="44"/>
      <c r="AC11" s="19">
        <f t="shared" si="8"/>
        <v>22463.9</v>
      </c>
      <c r="AD11" s="43"/>
      <c r="AE11" s="19">
        <f t="shared" si="9"/>
        <v>22463.9</v>
      </c>
      <c r="AF11" s="1"/>
      <c r="AG11" s="1"/>
      <c r="AH11" s="1"/>
      <c r="AI11" s="1"/>
      <c r="AJ11" s="36"/>
      <c r="AK11" s="1"/>
      <c r="AL11" s="1"/>
    </row>
    <row r="12" spans="1:38" s="2" customFormat="1" ht="17.100000000000001" customHeight="1">
      <c r="A12" s="5" t="s">
        <v>8</v>
      </c>
      <c r="B12" s="4">
        <v>1</v>
      </c>
      <c r="C12" s="4">
        <v>15</v>
      </c>
      <c r="D12" s="53">
        <v>18099</v>
      </c>
      <c r="E12" s="53">
        <v>18751.5</v>
      </c>
      <c r="F12" s="54">
        <f t="shared" si="1"/>
        <v>1.0360517155643958</v>
      </c>
      <c r="G12" s="4">
        <v>15</v>
      </c>
      <c r="H12" s="4" t="s">
        <v>68</v>
      </c>
      <c r="I12" s="4" t="s">
        <v>68</v>
      </c>
      <c r="J12" s="54" t="s">
        <v>68</v>
      </c>
      <c r="K12" s="4">
        <v>20</v>
      </c>
      <c r="L12" s="53">
        <v>185.5</v>
      </c>
      <c r="M12" s="53">
        <v>181</v>
      </c>
      <c r="N12" s="54">
        <f t="shared" si="2"/>
        <v>1.0248618784530388</v>
      </c>
      <c r="O12" s="4">
        <v>15</v>
      </c>
      <c r="P12" s="24">
        <f t="shared" si="3"/>
        <v>1.0203045313391448</v>
      </c>
      <c r="Q12" s="49">
        <v>118130</v>
      </c>
      <c r="R12" s="19">
        <f t="shared" si="4"/>
        <v>42956.4</v>
      </c>
      <c r="S12" s="19">
        <f t="shared" si="5"/>
        <v>43828.6</v>
      </c>
      <c r="T12" s="19">
        <f t="shared" si="6"/>
        <v>872.19999999999709</v>
      </c>
      <c r="U12" s="19">
        <v>8732.6</v>
      </c>
      <c r="V12" s="19">
        <v>8732.7000000000007</v>
      </c>
      <c r="W12" s="19">
        <v>12721.4</v>
      </c>
      <c r="X12" s="19">
        <v>2684.8</v>
      </c>
      <c r="Y12" s="19">
        <f t="shared" si="7"/>
        <v>10957.1</v>
      </c>
      <c r="Z12" s="43"/>
      <c r="AA12" s="43"/>
      <c r="AB12" s="44"/>
      <c r="AC12" s="19">
        <f t="shared" si="8"/>
        <v>10957.1</v>
      </c>
      <c r="AD12" s="43">
        <f>MIN(AC12,623.9)</f>
        <v>623.9</v>
      </c>
      <c r="AE12" s="19">
        <f t="shared" si="9"/>
        <v>10333.200000000001</v>
      </c>
      <c r="AF12" s="1"/>
      <c r="AG12" s="1"/>
      <c r="AH12" s="1"/>
      <c r="AI12" s="1"/>
      <c r="AJ12" s="36"/>
      <c r="AK12" s="1"/>
      <c r="AL12" s="1"/>
    </row>
    <row r="13" spans="1:38" s="2" customFormat="1" ht="17.100000000000001" customHeight="1">
      <c r="A13" s="5" t="s">
        <v>9</v>
      </c>
      <c r="B13" s="4">
        <v>1</v>
      </c>
      <c r="C13" s="4">
        <v>15</v>
      </c>
      <c r="D13" s="53">
        <v>9186</v>
      </c>
      <c r="E13" s="53">
        <v>9992.2999999999993</v>
      </c>
      <c r="F13" s="54">
        <f t="shared" si="1"/>
        <v>1.0877748748094926</v>
      </c>
      <c r="G13" s="4">
        <v>15</v>
      </c>
      <c r="H13" s="4" t="s">
        <v>68</v>
      </c>
      <c r="I13" s="4" t="s">
        <v>68</v>
      </c>
      <c r="J13" s="54" t="s">
        <v>68</v>
      </c>
      <c r="K13" s="4">
        <v>20</v>
      </c>
      <c r="L13" s="53">
        <v>50.1</v>
      </c>
      <c r="M13" s="53">
        <v>50</v>
      </c>
      <c r="N13" s="54">
        <f t="shared" si="2"/>
        <v>1.002</v>
      </c>
      <c r="O13" s="4">
        <v>15</v>
      </c>
      <c r="P13" s="24">
        <f t="shared" si="3"/>
        <v>1.0299249582698309</v>
      </c>
      <c r="Q13" s="49">
        <v>109453</v>
      </c>
      <c r="R13" s="19">
        <f t="shared" si="4"/>
        <v>39801.1</v>
      </c>
      <c r="S13" s="19">
        <f t="shared" si="5"/>
        <v>40992.1</v>
      </c>
      <c r="T13" s="19">
        <f t="shared" si="6"/>
        <v>1191</v>
      </c>
      <c r="U13" s="19">
        <v>9169.5</v>
      </c>
      <c r="V13" s="19">
        <v>9169.6</v>
      </c>
      <c r="W13" s="19">
        <v>12405</v>
      </c>
      <c r="X13" s="19"/>
      <c r="Y13" s="19">
        <f t="shared" si="7"/>
        <v>10248</v>
      </c>
      <c r="Z13" s="44"/>
      <c r="AA13" s="43"/>
      <c r="AB13" s="44"/>
      <c r="AC13" s="19">
        <f t="shared" si="8"/>
        <v>10248</v>
      </c>
      <c r="AD13" s="43"/>
      <c r="AE13" s="19">
        <f t="shared" si="9"/>
        <v>10248</v>
      </c>
      <c r="AF13" s="1"/>
      <c r="AG13" s="1"/>
      <c r="AH13" s="1"/>
      <c r="AI13" s="1"/>
      <c r="AJ13" s="36"/>
      <c r="AK13" s="1"/>
      <c r="AL13" s="1"/>
    </row>
    <row r="14" spans="1:38" s="2" customFormat="1" ht="17.100000000000001" customHeight="1">
      <c r="A14" s="5" t="s">
        <v>10</v>
      </c>
      <c r="B14" s="4">
        <v>1</v>
      </c>
      <c r="C14" s="4">
        <v>15</v>
      </c>
      <c r="D14" s="53">
        <v>8771</v>
      </c>
      <c r="E14" s="53">
        <v>9451.7999999999993</v>
      </c>
      <c r="F14" s="54">
        <f t="shared" si="1"/>
        <v>1.0776194276593318</v>
      </c>
      <c r="G14" s="4">
        <v>15</v>
      </c>
      <c r="H14" s="4" t="s">
        <v>68</v>
      </c>
      <c r="I14" s="4" t="s">
        <v>68</v>
      </c>
      <c r="J14" s="54" t="s">
        <v>68</v>
      </c>
      <c r="K14" s="4">
        <v>20</v>
      </c>
      <c r="L14" s="53">
        <v>45.9</v>
      </c>
      <c r="M14" s="53">
        <v>45.8</v>
      </c>
      <c r="N14" s="54">
        <f t="shared" si="2"/>
        <v>1.0021834061135371</v>
      </c>
      <c r="O14" s="4">
        <v>15</v>
      </c>
      <c r="P14" s="24">
        <f t="shared" si="3"/>
        <v>1.0266009445909563</v>
      </c>
      <c r="Q14" s="49">
        <v>57581</v>
      </c>
      <c r="R14" s="19">
        <f t="shared" si="4"/>
        <v>20938.5</v>
      </c>
      <c r="S14" s="19">
        <f t="shared" si="5"/>
        <v>21495.5</v>
      </c>
      <c r="T14" s="19">
        <f t="shared" si="6"/>
        <v>557</v>
      </c>
      <c r="U14" s="19">
        <v>5234.6000000000004</v>
      </c>
      <c r="V14" s="19">
        <v>5234.7</v>
      </c>
      <c r="W14" s="19">
        <v>5180.5</v>
      </c>
      <c r="X14" s="19">
        <v>471.8</v>
      </c>
      <c r="Y14" s="19">
        <f t="shared" si="7"/>
        <v>5373.9</v>
      </c>
      <c r="Z14" s="43"/>
      <c r="AA14" s="43"/>
      <c r="AB14" s="44"/>
      <c r="AC14" s="19">
        <f t="shared" si="8"/>
        <v>5373.9</v>
      </c>
      <c r="AD14" s="43"/>
      <c r="AE14" s="19">
        <f t="shared" si="9"/>
        <v>5373.9</v>
      </c>
      <c r="AF14" s="1"/>
      <c r="AG14" s="1"/>
      <c r="AH14" s="1"/>
      <c r="AI14" s="1"/>
      <c r="AJ14" s="36"/>
      <c r="AK14" s="1"/>
    </row>
    <row r="15" spans="1:38" s="99" customFormat="1" ht="16.5" customHeight="1">
      <c r="A15" s="89" t="s">
        <v>11</v>
      </c>
      <c r="B15" s="90">
        <v>1</v>
      </c>
      <c r="C15" s="90">
        <v>15</v>
      </c>
      <c r="D15" s="91">
        <v>7732</v>
      </c>
      <c r="E15" s="91">
        <v>9463.2000000000007</v>
      </c>
      <c r="F15" s="92">
        <f t="shared" si="1"/>
        <v>1.2023900672529746</v>
      </c>
      <c r="G15" s="90">
        <v>15</v>
      </c>
      <c r="H15" s="90" t="s">
        <v>68</v>
      </c>
      <c r="I15" s="90" t="s">
        <v>68</v>
      </c>
      <c r="J15" s="92" t="s">
        <v>68</v>
      </c>
      <c r="K15" s="90">
        <v>20</v>
      </c>
      <c r="L15" s="91">
        <v>414.4</v>
      </c>
      <c r="M15" s="91">
        <v>221.5</v>
      </c>
      <c r="N15" s="92">
        <f t="shared" si="2"/>
        <v>1.2670880361173815</v>
      </c>
      <c r="O15" s="90">
        <v>15</v>
      </c>
      <c r="P15" s="93">
        <f t="shared" si="3"/>
        <v>1.156492701123452</v>
      </c>
      <c r="Q15" s="94">
        <v>95592</v>
      </c>
      <c r="R15" s="95">
        <f t="shared" si="4"/>
        <v>34760.699999999997</v>
      </c>
      <c r="S15" s="95">
        <f t="shared" si="5"/>
        <v>40200.5</v>
      </c>
      <c r="T15" s="95">
        <f t="shared" si="6"/>
        <v>5439.8000000000029</v>
      </c>
      <c r="U15" s="95">
        <v>7924.2</v>
      </c>
      <c r="V15" s="95">
        <v>7924.2</v>
      </c>
      <c r="W15" s="95">
        <v>14301.9</v>
      </c>
      <c r="X15" s="95"/>
      <c r="Y15" s="95">
        <f t="shared" si="7"/>
        <v>10050.200000000001</v>
      </c>
      <c r="Z15" s="96"/>
      <c r="AA15" s="96"/>
      <c r="AB15" s="96"/>
      <c r="AC15" s="95">
        <f t="shared" si="8"/>
        <v>10050.200000000001</v>
      </c>
      <c r="AD15" s="96"/>
      <c r="AE15" s="95">
        <f t="shared" si="9"/>
        <v>10050.200000000001</v>
      </c>
      <c r="AF15" s="97"/>
      <c r="AG15" s="97"/>
      <c r="AH15" s="97"/>
      <c r="AI15" s="97"/>
      <c r="AJ15" s="98"/>
      <c r="AK15" s="97"/>
    </row>
    <row r="16" spans="1:38" s="2" customFormat="1" ht="17.100000000000001" customHeight="1">
      <c r="A16" s="34" t="s">
        <v>12</v>
      </c>
      <c r="B16" s="4">
        <v>1</v>
      </c>
      <c r="C16" s="4">
        <v>15</v>
      </c>
      <c r="D16" s="53">
        <v>2890</v>
      </c>
      <c r="E16" s="53">
        <v>3235.9</v>
      </c>
      <c r="F16" s="54">
        <f t="shared" si="1"/>
        <v>1.1196885813148789</v>
      </c>
      <c r="G16" s="4">
        <v>15</v>
      </c>
      <c r="H16" s="4" t="s">
        <v>68</v>
      </c>
      <c r="I16" s="4" t="s">
        <v>68</v>
      </c>
      <c r="J16" s="54" t="s">
        <v>68</v>
      </c>
      <c r="K16" s="4">
        <v>20</v>
      </c>
      <c r="L16" s="53">
        <v>71.7</v>
      </c>
      <c r="M16" s="53">
        <v>57.7</v>
      </c>
      <c r="N16" s="54">
        <f t="shared" si="2"/>
        <v>1.204263431542461</v>
      </c>
      <c r="O16" s="4">
        <v>15</v>
      </c>
      <c r="P16" s="24">
        <f t="shared" si="3"/>
        <v>1.10798400428578</v>
      </c>
      <c r="Q16" s="49">
        <v>102582</v>
      </c>
      <c r="R16" s="19">
        <f t="shared" si="4"/>
        <v>37302.5</v>
      </c>
      <c r="S16" s="19">
        <f t="shared" si="5"/>
        <v>41330.6</v>
      </c>
      <c r="T16" s="19">
        <f t="shared" si="6"/>
        <v>4028.0999999999985</v>
      </c>
      <c r="U16" s="19">
        <v>5843.1</v>
      </c>
      <c r="V16" s="19">
        <v>5843.1</v>
      </c>
      <c r="W16" s="19">
        <v>7736</v>
      </c>
      <c r="X16" s="19"/>
      <c r="Y16" s="19">
        <f t="shared" si="7"/>
        <v>21908.400000000001</v>
      </c>
      <c r="Z16" s="43"/>
      <c r="AA16" s="43"/>
      <c r="AB16" s="44"/>
      <c r="AC16" s="19">
        <f t="shared" si="8"/>
        <v>21908.400000000001</v>
      </c>
      <c r="AD16" s="43"/>
      <c r="AE16" s="19">
        <f t="shared" si="9"/>
        <v>21908.400000000001</v>
      </c>
      <c r="AF16" s="1"/>
      <c r="AG16" s="1"/>
      <c r="AH16" s="1"/>
      <c r="AI16" s="1"/>
      <c r="AJ16" s="36"/>
      <c r="AK16" s="1"/>
    </row>
    <row r="17" spans="1:38" s="2" customFormat="1" ht="17.100000000000001" customHeight="1">
      <c r="A17" s="5" t="s">
        <v>13</v>
      </c>
      <c r="B17" s="4">
        <v>1</v>
      </c>
      <c r="C17" s="4">
        <v>15</v>
      </c>
      <c r="D17" s="53">
        <v>9634</v>
      </c>
      <c r="E17" s="53">
        <v>10557.5</v>
      </c>
      <c r="F17" s="54">
        <f t="shared" si="1"/>
        <v>1.0958584181025535</v>
      </c>
      <c r="G17" s="4">
        <v>15</v>
      </c>
      <c r="H17" s="4" t="s">
        <v>68</v>
      </c>
      <c r="I17" s="4" t="s">
        <v>68</v>
      </c>
      <c r="J17" s="54" t="s">
        <v>68</v>
      </c>
      <c r="K17" s="4">
        <v>20</v>
      </c>
      <c r="L17" s="53">
        <v>56.3</v>
      </c>
      <c r="M17" s="53">
        <v>33.6</v>
      </c>
      <c r="N17" s="54">
        <f t="shared" si="2"/>
        <v>1.2475595238095238</v>
      </c>
      <c r="O17" s="4">
        <v>15</v>
      </c>
      <c r="P17" s="24">
        <f t="shared" si="3"/>
        <v>1.1144726473040256</v>
      </c>
      <c r="Q17" s="49">
        <v>97813</v>
      </c>
      <c r="R17" s="19">
        <f t="shared" si="4"/>
        <v>35568.400000000001</v>
      </c>
      <c r="S17" s="19">
        <f t="shared" si="5"/>
        <v>39640</v>
      </c>
      <c r="T17" s="19">
        <f t="shared" si="6"/>
        <v>4071.5999999999985</v>
      </c>
      <c r="U17" s="19">
        <v>8204.9</v>
      </c>
      <c r="V17" s="19">
        <v>8204.9</v>
      </c>
      <c r="W17" s="19">
        <v>13320.2</v>
      </c>
      <c r="X17" s="19"/>
      <c r="Y17" s="19">
        <f t="shared" si="7"/>
        <v>9910</v>
      </c>
      <c r="Z17" s="43"/>
      <c r="AA17" s="43"/>
      <c r="AB17" s="44"/>
      <c r="AC17" s="19">
        <f t="shared" si="8"/>
        <v>9910</v>
      </c>
      <c r="AD17" s="43"/>
      <c r="AE17" s="19">
        <f t="shared" si="9"/>
        <v>9910</v>
      </c>
      <c r="AF17" s="1"/>
      <c r="AG17" s="1"/>
      <c r="AH17" s="1"/>
      <c r="AI17" s="1"/>
      <c r="AJ17" s="36"/>
      <c r="AK17" s="1"/>
    </row>
    <row r="18" spans="1:38" s="2" customFormat="1" ht="17.100000000000001" customHeight="1">
      <c r="A18" s="5" t="s">
        <v>14</v>
      </c>
      <c r="B18" s="4">
        <v>1</v>
      </c>
      <c r="C18" s="4">
        <v>15</v>
      </c>
      <c r="D18" s="53">
        <v>4344</v>
      </c>
      <c r="E18" s="53">
        <v>4489.1000000000004</v>
      </c>
      <c r="F18" s="54">
        <f t="shared" si="1"/>
        <v>1.033402394106814</v>
      </c>
      <c r="G18" s="4">
        <v>15</v>
      </c>
      <c r="H18" s="4" t="s">
        <v>68</v>
      </c>
      <c r="I18" s="4" t="s">
        <v>68</v>
      </c>
      <c r="J18" s="54" t="s">
        <v>68</v>
      </c>
      <c r="K18" s="4">
        <v>20</v>
      </c>
      <c r="L18" s="53">
        <v>10.3</v>
      </c>
      <c r="M18" s="53">
        <v>0.3</v>
      </c>
      <c r="N18" s="54">
        <f t="shared" si="2"/>
        <v>1.3</v>
      </c>
      <c r="O18" s="4">
        <v>15</v>
      </c>
      <c r="P18" s="24">
        <f t="shared" si="3"/>
        <v>1.111134131368938</v>
      </c>
      <c r="Q18" s="49">
        <v>53194</v>
      </c>
      <c r="R18" s="19">
        <f t="shared" si="4"/>
        <v>19343.3</v>
      </c>
      <c r="S18" s="19">
        <f t="shared" si="5"/>
        <v>21493</v>
      </c>
      <c r="T18" s="19">
        <f t="shared" si="6"/>
        <v>2149.7000000000007</v>
      </c>
      <c r="U18" s="19">
        <v>4352.3999999999996</v>
      </c>
      <c r="V18" s="19">
        <v>4352.3</v>
      </c>
      <c r="W18" s="19">
        <v>7195.6</v>
      </c>
      <c r="X18" s="19">
        <v>219.5</v>
      </c>
      <c r="Y18" s="19">
        <f t="shared" si="7"/>
        <v>5373.2</v>
      </c>
      <c r="Z18" s="43"/>
      <c r="AA18" s="43"/>
      <c r="AB18" s="44"/>
      <c r="AC18" s="19">
        <f t="shared" si="8"/>
        <v>5373.2</v>
      </c>
      <c r="AD18" s="43"/>
      <c r="AE18" s="19">
        <f t="shared" si="9"/>
        <v>5373.2</v>
      </c>
      <c r="AF18" s="1"/>
      <c r="AG18" s="1"/>
      <c r="AH18" s="1"/>
      <c r="AI18" s="1"/>
      <c r="AJ18" s="36"/>
      <c r="AK18" s="1"/>
    </row>
    <row r="19" spans="1:38" s="2" customFormat="1" ht="17.100000000000001" customHeight="1">
      <c r="A19" s="7" t="s">
        <v>17</v>
      </c>
      <c r="B19" s="9"/>
      <c r="C19" s="9"/>
      <c r="D19" s="18">
        <f>SUM(D20:D46)</f>
        <v>74902</v>
      </c>
      <c r="E19" s="18">
        <f>SUM(E20:E46)</f>
        <v>82703.600000000006</v>
      </c>
      <c r="F19" s="52">
        <f>IF(E19/D19&gt;1.2,IF((E19/D19-1.2)*0.1+1.2&gt;1.3,1.3,(E19/D19-1.2)*0.1+1.2),E19/D19)</f>
        <v>1.1041574323783077</v>
      </c>
      <c r="G19" s="9"/>
      <c r="H19" s="9"/>
      <c r="I19" s="9"/>
      <c r="J19" s="9"/>
      <c r="K19" s="9"/>
      <c r="L19" s="18">
        <f>SUM(L20:L46)</f>
        <v>832.00000000000011</v>
      </c>
      <c r="M19" s="18">
        <f>SUM(M20:M46)</f>
        <v>852</v>
      </c>
      <c r="N19" s="52">
        <f>IF(L19/M19&gt;1.2,IF((L19/M19-1.2)*0.1+1.2&gt;1.3,1.3,(L19/M19-1.2)*0.1+1.2),L19/M19)</f>
        <v>0.97652582159624424</v>
      </c>
      <c r="O19" s="9"/>
      <c r="P19" s="10"/>
      <c r="Q19" s="48">
        <f>SUM(Q20:Q46)</f>
        <v>1670076</v>
      </c>
      <c r="R19" s="18">
        <f>SUM(R20:R46)</f>
        <v>607300.6</v>
      </c>
      <c r="S19" s="18">
        <f>SUM(S20:S46)</f>
        <v>635060.4</v>
      </c>
      <c r="T19" s="18">
        <f>SUM(T20:T46)</f>
        <v>27759.799999999996</v>
      </c>
      <c r="U19" s="18">
        <f t="shared" ref="U19" si="10">SUM(U20:U46)</f>
        <v>150686.99999999994</v>
      </c>
      <c r="V19" s="18">
        <f>SUM(V20:V46)</f>
        <v>150687</v>
      </c>
      <c r="W19" s="18">
        <f>SUM(W20:W46)</f>
        <v>161003.90000000002</v>
      </c>
      <c r="X19" s="18">
        <f>SUM(X20:X46)</f>
        <v>13917.000000000002</v>
      </c>
      <c r="Y19" s="18">
        <f>SUM(Y20:Y46)</f>
        <v>158765.49999999997</v>
      </c>
      <c r="Z19" s="18"/>
      <c r="AA19" s="18"/>
      <c r="AB19" s="18"/>
      <c r="AC19" s="18">
        <f>SUM(AC20:AC46)</f>
        <v>158765.49999999997</v>
      </c>
      <c r="AD19" s="18">
        <f>SUM(AD20:AD46)</f>
        <v>12936.800000000001</v>
      </c>
      <c r="AE19" s="18">
        <f>SUM(AE20:AE46)</f>
        <v>145828.70000000001</v>
      </c>
      <c r="AF19" s="1"/>
      <c r="AG19" s="1"/>
      <c r="AH19" s="1"/>
      <c r="AI19" s="1"/>
      <c r="AJ19" s="36"/>
      <c r="AK19" s="1"/>
      <c r="AL19" s="1"/>
    </row>
    <row r="20" spans="1:38" s="2" customFormat="1" ht="17.100000000000001" customHeight="1">
      <c r="A20" s="6" t="s">
        <v>0</v>
      </c>
      <c r="B20" s="4">
        <v>1</v>
      </c>
      <c r="C20" s="4">
        <v>10</v>
      </c>
      <c r="D20" s="19">
        <v>590</v>
      </c>
      <c r="E20" s="19">
        <v>687.4</v>
      </c>
      <c r="F20" s="54">
        <f t="shared" si="1"/>
        <v>1.1650847457627118</v>
      </c>
      <c r="G20" s="4">
        <v>10</v>
      </c>
      <c r="H20" s="4" t="s">
        <v>68</v>
      </c>
      <c r="I20" s="4" t="s">
        <v>68</v>
      </c>
      <c r="J20" s="54" t="s">
        <v>68</v>
      </c>
      <c r="K20" s="4">
        <v>15</v>
      </c>
      <c r="L20" s="53">
        <v>4.5</v>
      </c>
      <c r="M20" s="53">
        <v>5.3</v>
      </c>
      <c r="N20" s="54">
        <f t="shared" si="2"/>
        <v>0.84905660377358494</v>
      </c>
      <c r="O20" s="4">
        <v>15</v>
      </c>
      <c r="P20" s="24">
        <f t="shared" si="3"/>
        <v>0.98247704326373975</v>
      </c>
      <c r="Q20" s="49">
        <v>39115</v>
      </c>
      <c r="R20" s="19">
        <f t="shared" si="4"/>
        <v>14223.6</v>
      </c>
      <c r="S20" s="19">
        <f t="shared" si="5"/>
        <v>13974.4</v>
      </c>
      <c r="T20" s="19">
        <f>S20-R20</f>
        <v>-249.20000000000073</v>
      </c>
      <c r="U20" s="19">
        <v>3555.9</v>
      </c>
      <c r="V20" s="19">
        <v>3555.9</v>
      </c>
      <c r="W20" s="19">
        <v>2480</v>
      </c>
      <c r="X20" s="19">
        <v>889</v>
      </c>
      <c r="Y20" s="19">
        <f t="shared" si="7"/>
        <v>3493.6</v>
      </c>
      <c r="Z20" s="43"/>
      <c r="AA20" s="43"/>
      <c r="AB20" s="44"/>
      <c r="AC20" s="19">
        <f>IF(OR(Z20="+",AA20="+",AB20="+"),0,Y20)</f>
        <v>3493.6</v>
      </c>
      <c r="AD20" s="43">
        <f>MIN(AC20,889)</f>
        <v>889</v>
      </c>
      <c r="AE20" s="19">
        <f t="shared" si="9"/>
        <v>2604.6</v>
      </c>
      <c r="AF20" s="1"/>
      <c r="AG20" s="1"/>
      <c r="AH20" s="1"/>
      <c r="AI20" s="1"/>
      <c r="AJ20" s="36"/>
      <c r="AK20" s="1"/>
      <c r="AL20" s="1"/>
    </row>
    <row r="21" spans="1:38" s="2" customFormat="1" ht="17.100000000000001" customHeight="1">
      <c r="A21" s="6" t="s">
        <v>18</v>
      </c>
      <c r="B21" s="4">
        <v>1</v>
      </c>
      <c r="C21" s="4">
        <v>10</v>
      </c>
      <c r="D21" s="19">
        <v>5016</v>
      </c>
      <c r="E21" s="19">
        <v>5307.4</v>
      </c>
      <c r="F21" s="54">
        <f t="shared" si="1"/>
        <v>1.0580940988835725</v>
      </c>
      <c r="G21" s="4">
        <v>10</v>
      </c>
      <c r="H21" s="4" t="s">
        <v>68</v>
      </c>
      <c r="I21" s="4" t="s">
        <v>68</v>
      </c>
      <c r="J21" s="54" t="s">
        <v>68</v>
      </c>
      <c r="K21" s="4">
        <v>15</v>
      </c>
      <c r="L21" s="53">
        <v>4.9000000000000004</v>
      </c>
      <c r="M21" s="53">
        <v>0.8</v>
      </c>
      <c r="N21" s="54">
        <f t="shared" si="2"/>
        <v>1.3</v>
      </c>
      <c r="O21" s="4">
        <v>15</v>
      </c>
      <c r="P21" s="24">
        <f t="shared" si="3"/>
        <v>1.1451697425381635</v>
      </c>
      <c r="Q21" s="49">
        <v>68580</v>
      </c>
      <c r="R21" s="19">
        <f t="shared" si="4"/>
        <v>24938.2</v>
      </c>
      <c r="S21" s="19">
        <f t="shared" si="5"/>
        <v>28558.5</v>
      </c>
      <c r="T21" s="19">
        <f t="shared" ref="T21:T46" si="11">S21-R21</f>
        <v>3620.2999999999993</v>
      </c>
      <c r="U21" s="19">
        <v>6234.5</v>
      </c>
      <c r="V21" s="19">
        <v>6234.6</v>
      </c>
      <c r="W21" s="19">
        <v>8949.7000000000007</v>
      </c>
      <c r="X21" s="19"/>
      <c r="Y21" s="19">
        <f t="shared" si="7"/>
        <v>7139.7</v>
      </c>
      <c r="Z21" s="43"/>
      <c r="AA21" s="43"/>
      <c r="AB21" s="44"/>
      <c r="AC21" s="19">
        <f t="shared" ref="AC21:AC45" si="12">IF(OR(Z21="+",AA21="+",AB21="+"),0,Y21)</f>
        <v>7139.7</v>
      </c>
      <c r="AD21" s="43"/>
      <c r="AE21" s="19">
        <f t="shared" si="9"/>
        <v>7139.7</v>
      </c>
      <c r="AF21" s="1"/>
      <c r="AG21" s="1"/>
      <c r="AH21" s="1"/>
      <c r="AI21" s="1"/>
      <c r="AJ21" s="36"/>
      <c r="AK21" s="1"/>
      <c r="AL21" s="1"/>
    </row>
    <row r="22" spans="1:38" s="2" customFormat="1" ht="17.100000000000001" customHeight="1">
      <c r="A22" s="6" t="s">
        <v>19</v>
      </c>
      <c r="B22" s="4">
        <v>1</v>
      </c>
      <c r="C22" s="4">
        <v>10</v>
      </c>
      <c r="D22" s="19">
        <v>1327</v>
      </c>
      <c r="E22" s="19">
        <v>1454.2</v>
      </c>
      <c r="F22" s="54">
        <f t="shared" si="1"/>
        <v>1.0958553127354935</v>
      </c>
      <c r="G22" s="4">
        <v>10</v>
      </c>
      <c r="H22" s="4" t="s">
        <v>68</v>
      </c>
      <c r="I22" s="4" t="s">
        <v>68</v>
      </c>
      <c r="J22" s="54" t="s">
        <v>68</v>
      </c>
      <c r="K22" s="4">
        <v>15</v>
      </c>
      <c r="L22" s="53">
        <v>12</v>
      </c>
      <c r="M22" s="53">
        <v>9.5</v>
      </c>
      <c r="N22" s="54">
        <f t="shared" si="2"/>
        <v>1.2063157894736842</v>
      </c>
      <c r="O22" s="4">
        <v>15</v>
      </c>
      <c r="P22" s="24">
        <f t="shared" si="3"/>
        <v>1.1158082848417199</v>
      </c>
      <c r="Q22" s="49">
        <v>45233</v>
      </c>
      <c r="R22" s="19">
        <f t="shared" si="4"/>
        <v>16448.400000000001</v>
      </c>
      <c r="S22" s="19">
        <f t="shared" si="5"/>
        <v>18353.3</v>
      </c>
      <c r="T22" s="19">
        <f t="shared" si="11"/>
        <v>1904.8999999999978</v>
      </c>
      <c r="U22" s="19">
        <v>4112.1000000000004</v>
      </c>
      <c r="V22" s="19">
        <v>4112.1000000000004</v>
      </c>
      <c r="W22" s="19">
        <v>5540.7</v>
      </c>
      <c r="X22" s="19"/>
      <c r="Y22" s="19">
        <f t="shared" si="7"/>
        <v>4588.3999999999996</v>
      </c>
      <c r="Z22" s="43"/>
      <c r="AA22" s="43"/>
      <c r="AB22" s="44"/>
      <c r="AC22" s="19">
        <f t="shared" si="12"/>
        <v>4588.3999999999996</v>
      </c>
      <c r="AD22" s="43"/>
      <c r="AE22" s="19">
        <f t="shared" si="9"/>
        <v>4588.3999999999996</v>
      </c>
      <c r="AF22" s="1"/>
      <c r="AG22" s="1"/>
      <c r="AH22" s="1"/>
      <c r="AI22" s="1"/>
      <c r="AJ22" s="36"/>
      <c r="AK22" s="1"/>
      <c r="AL22" s="1"/>
    </row>
    <row r="23" spans="1:38" s="2" customFormat="1" ht="17.100000000000001" customHeight="1">
      <c r="A23" s="6" t="s">
        <v>20</v>
      </c>
      <c r="B23" s="4">
        <v>1</v>
      </c>
      <c r="C23" s="4">
        <v>10</v>
      </c>
      <c r="D23" s="19">
        <v>1373</v>
      </c>
      <c r="E23" s="19">
        <v>1577.8</v>
      </c>
      <c r="F23" s="54">
        <f t="shared" si="1"/>
        <v>1.1491624180626365</v>
      </c>
      <c r="G23" s="4">
        <v>10</v>
      </c>
      <c r="H23" s="4" t="s">
        <v>68</v>
      </c>
      <c r="I23" s="4" t="s">
        <v>68</v>
      </c>
      <c r="J23" s="54" t="s">
        <v>68</v>
      </c>
      <c r="K23" s="4">
        <v>15</v>
      </c>
      <c r="L23" s="53">
        <v>5.7</v>
      </c>
      <c r="M23" s="53">
        <v>3.5</v>
      </c>
      <c r="N23" s="54">
        <f t="shared" si="2"/>
        <v>1.2428571428571429</v>
      </c>
      <c r="O23" s="4">
        <v>15</v>
      </c>
      <c r="P23" s="24">
        <f t="shared" si="3"/>
        <v>1.1466994663852432</v>
      </c>
      <c r="Q23" s="49">
        <v>50661</v>
      </c>
      <c r="R23" s="19">
        <f t="shared" si="4"/>
        <v>18422.2</v>
      </c>
      <c r="S23" s="19">
        <f t="shared" si="5"/>
        <v>21124.7</v>
      </c>
      <c r="T23" s="19">
        <f t="shared" si="11"/>
        <v>2702.5</v>
      </c>
      <c r="U23" s="19">
        <v>4605.5</v>
      </c>
      <c r="V23" s="19">
        <v>4605.6000000000004</v>
      </c>
      <c r="W23" s="19">
        <v>5481</v>
      </c>
      <c r="X23" s="19">
        <v>1151.4000000000001</v>
      </c>
      <c r="Y23" s="19">
        <f t="shared" si="7"/>
        <v>5281.2</v>
      </c>
      <c r="Z23" s="43"/>
      <c r="AA23" s="43"/>
      <c r="AB23" s="44"/>
      <c r="AC23" s="19">
        <f t="shared" si="12"/>
        <v>5281.2</v>
      </c>
      <c r="AD23" s="43">
        <f>MIN(AC23,212.9)</f>
        <v>212.9</v>
      </c>
      <c r="AE23" s="19">
        <f t="shared" si="9"/>
        <v>5068.3</v>
      </c>
      <c r="AF23" s="1"/>
      <c r="AG23" s="1"/>
      <c r="AH23" s="1"/>
      <c r="AI23" s="1"/>
      <c r="AJ23" s="36"/>
      <c r="AK23" s="1"/>
      <c r="AL23" s="1"/>
    </row>
    <row r="24" spans="1:38" s="2" customFormat="1" ht="17.100000000000001" customHeight="1">
      <c r="A24" s="6" t="s">
        <v>21</v>
      </c>
      <c r="B24" s="4">
        <v>1</v>
      </c>
      <c r="C24" s="4">
        <v>10</v>
      </c>
      <c r="D24" s="19">
        <v>1108</v>
      </c>
      <c r="E24" s="19">
        <v>1126.8</v>
      </c>
      <c r="F24" s="54">
        <f t="shared" si="1"/>
        <v>1.0169675090252708</v>
      </c>
      <c r="G24" s="4">
        <v>10</v>
      </c>
      <c r="H24" s="4" t="s">
        <v>68</v>
      </c>
      <c r="I24" s="4" t="s">
        <v>68</v>
      </c>
      <c r="J24" s="54" t="s">
        <v>68</v>
      </c>
      <c r="K24" s="4">
        <v>15</v>
      </c>
      <c r="L24" s="53">
        <v>9.3000000000000007</v>
      </c>
      <c r="M24" s="53">
        <v>9.2999999999999989</v>
      </c>
      <c r="N24" s="54">
        <f t="shared" si="2"/>
        <v>1.0000000000000002</v>
      </c>
      <c r="O24" s="4">
        <v>15</v>
      </c>
      <c r="P24" s="24">
        <f t="shared" si="3"/>
        <v>1.004847859721506</v>
      </c>
      <c r="Q24" s="49">
        <v>55514</v>
      </c>
      <c r="R24" s="19">
        <f t="shared" si="4"/>
        <v>20186.900000000001</v>
      </c>
      <c r="S24" s="19">
        <f t="shared" si="5"/>
        <v>20284.8</v>
      </c>
      <c r="T24" s="19">
        <f t="shared" si="11"/>
        <v>97.899999999997817</v>
      </c>
      <c r="U24" s="19">
        <v>5046.7</v>
      </c>
      <c r="V24" s="19">
        <v>5046.8</v>
      </c>
      <c r="W24" s="19">
        <v>3858.4</v>
      </c>
      <c r="X24" s="19">
        <v>1261.7</v>
      </c>
      <c r="Y24" s="19">
        <f t="shared" si="7"/>
        <v>5071.2</v>
      </c>
      <c r="Z24" s="43"/>
      <c r="AA24" s="43"/>
      <c r="AB24" s="44"/>
      <c r="AC24" s="19">
        <f t="shared" si="12"/>
        <v>5071.2</v>
      </c>
      <c r="AD24" s="43">
        <f>MIN(AC24,1220)</f>
        <v>1220</v>
      </c>
      <c r="AE24" s="19">
        <f t="shared" si="9"/>
        <v>3851.2</v>
      </c>
      <c r="AF24" s="1"/>
      <c r="AG24" s="1"/>
      <c r="AH24" s="1"/>
      <c r="AI24" s="1"/>
      <c r="AJ24" s="36"/>
      <c r="AK24" s="1"/>
      <c r="AL24" s="1"/>
    </row>
    <row r="25" spans="1:38" s="2" customFormat="1" ht="17.100000000000001" customHeight="1">
      <c r="A25" s="6" t="s">
        <v>22</v>
      </c>
      <c r="B25" s="4">
        <v>1</v>
      </c>
      <c r="C25" s="4">
        <v>10</v>
      </c>
      <c r="D25" s="19">
        <v>1544</v>
      </c>
      <c r="E25" s="19">
        <v>1710</v>
      </c>
      <c r="F25" s="54">
        <f t="shared" si="1"/>
        <v>1.1075129533678756</v>
      </c>
      <c r="G25" s="4">
        <v>10</v>
      </c>
      <c r="H25" s="4" t="s">
        <v>68</v>
      </c>
      <c r="I25" s="4" t="s">
        <v>68</v>
      </c>
      <c r="J25" s="54" t="s">
        <v>68</v>
      </c>
      <c r="K25" s="4">
        <v>15</v>
      </c>
      <c r="L25" s="53">
        <v>7</v>
      </c>
      <c r="M25" s="53">
        <v>0</v>
      </c>
      <c r="N25" s="54">
        <f t="shared" si="2"/>
        <v>1.3</v>
      </c>
      <c r="O25" s="4">
        <v>15</v>
      </c>
      <c r="P25" s="24">
        <f t="shared" si="3"/>
        <v>1.1592894152479645</v>
      </c>
      <c r="Q25" s="49">
        <v>62560</v>
      </c>
      <c r="R25" s="19">
        <f t="shared" si="4"/>
        <v>22749.1</v>
      </c>
      <c r="S25" s="19">
        <f t="shared" si="5"/>
        <v>26372.799999999999</v>
      </c>
      <c r="T25" s="19">
        <f t="shared" si="11"/>
        <v>3623.7000000000007</v>
      </c>
      <c r="U25" s="19">
        <v>5687.3</v>
      </c>
      <c r="V25" s="19">
        <v>5687.2</v>
      </c>
      <c r="W25" s="19">
        <v>8405.1</v>
      </c>
      <c r="X25" s="19"/>
      <c r="Y25" s="19">
        <f t="shared" si="7"/>
        <v>6593.2</v>
      </c>
      <c r="Z25" s="44"/>
      <c r="AA25" s="43"/>
      <c r="AB25" s="44"/>
      <c r="AC25" s="19">
        <f t="shared" si="12"/>
        <v>6593.2</v>
      </c>
      <c r="AD25" s="43"/>
      <c r="AE25" s="19">
        <f t="shared" si="9"/>
        <v>6593.2</v>
      </c>
      <c r="AF25" s="1"/>
      <c r="AG25" s="1"/>
      <c r="AH25" s="1"/>
      <c r="AI25" s="1"/>
      <c r="AJ25" s="36"/>
      <c r="AK25" s="1"/>
      <c r="AL25" s="1"/>
    </row>
    <row r="26" spans="1:38" s="2" customFormat="1" ht="17.100000000000001" customHeight="1">
      <c r="A26" s="6" t="s">
        <v>23</v>
      </c>
      <c r="B26" s="4">
        <v>1</v>
      </c>
      <c r="C26" s="4">
        <v>10</v>
      </c>
      <c r="D26" s="19">
        <v>13383</v>
      </c>
      <c r="E26" s="19">
        <v>15040.6</v>
      </c>
      <c r="F26" s="54">
        <f t="shared" si="1"/>
        <v>1.1238586266158559</v>
      </c>
      <c r="G26" s="4">
        <v>10</v>
      </c>
      <c r="H26" s="4" t="s">
        <v>68</v>
      </c>
      <c r="I26" s="4" t="s">
        <v>68</v>
      </c>
      <c r="J26" s="54" t="s">
        <v>68</v>
      </c>
      <c r="K26" s="4">
        <v>15</v>
      </c>
      <c r="L26" s="53">
        <v>128.6</v>
      </c>
      <c r="M26" s="53">
        <v>121</v>
      </c>
      <c r="N26" s="54">
        <f t="shared" si="2"/>
        <v>1.0628099173553718</v>
      </c>
      <c r="O26" s="4">
        <v>15</v>
      </c>
      <c r="P26" s="24">
        <f t="shared" si="3"/>
        <v>1.0623067150425467</v>
      </c>
      <c r="Q26" s="49">
        <v>147428</v>
      </c>
      <c r="R26" s="19">
        <f t="shared" si="4"/>
        <v>53610.2</v>
      </c>
      <c r="S26" s="19">
        <f t="shared" si="5"/>
        <v>56950.5</v>
      </c>
      <c r="T26" s="19">
        <f t="shared" si="11"/>
        <v>3340.3000000000029</v>
      </c>
      <c r="U26" s="19">
        <v>13402.5</v>
      </c>
      <c r="V26" s="19">
        <v>13402.6</v>
      </c>
      <c r="W26" s="19">
        <v>15907.7</v>
      </c>
      <c r="X26" s="19"/>
      <c r="Y26" s="19">
        <f t="shared" si="7"/>
        <v>14237.7</v>
      </c>
      <c r="Z26" s="43"/>
      <c r="AA26" s="43"/>
      <c r="AB26" s="44"/>
      <c r="AC26" s="19">
        <f t="shared" si="12"/>
        <v>14237.7</v>
      </c>
      <c r="AD26" s="43"/>
      <c r="AE26" s="19">
        <f t="shared" si="9"/>
        <v>14237.7</v>
      </c>
      <c r="AF26" s="1"/>
      <c r="AG26" s="1"/>
      <c r="AH26" s="1"/>
      <c r="AI26" s="1"/>
      <c r="AJ26" s="36"/>
      <c r="AK26" s="1"/>
      <c r="AL26" s="1"/>
    </row>
    <row r="27" spans="1:38" s="2" customFormat="1" ht="16.5" customHeight="1">
      <c r="A27" s="6" t="s">
        <v>24</v>
      </c>
      <c r="B27" s="4">
        <v>1</v>
      </c>
      <c r="C27" s="4">
        <v>10</v>
      </c>
      <c r="D27" s="19">
        <v>550</v>
      </c>
      <c r="E27" s="19">
        <v>706.5</v>
      </c>
      <c r="F27" s="54">
        <f t="shared" si="1"/>
        <v>1.2084545454545454</v>
      </c>
      <c r="G27" s="4">
        <v>10</v>
      </c>
      <c r="H27" s="4" t="s">
        <v>68</v>
      </c>
      <c r="I27" s="4" t="s">
        <v>68</v>
      </c>
      <c r="J27" s="54" t="s">
        <v>68</v>
      </c>
      <c r="K27" s="4">
        <v>15</v>
      </c>
      <c r="L27" s="53">
        <v>12</v>
      </c>
      <c r="M27" s="53">
        <v>11.6</v>
      </c>
      <c r="N27" s="54">
        <f t="shared" si="2"/>
        <v>1.0344827586206897</v>
      </c>
      <c r="O27" s="4">
        <v>15</v>
      </c>
      <c r="P27" s="24">
        <f t="shared" si="3"/>
        <v>1.0743367666815942</v>
      </c>
      <c r="Q27" s="49">
        <v>27974</v>
      </c>
      <c r="R27" s="19">
        <f t="shared" si="4"/>
        <v>10172.4</v>
      </c>
      <c r="S27" s="19">
        <f t="shared" si="5"/>
        <v>10928.6</v>
      </c>
      <c r="T27" s="19">
        <f t="shared" si="11"/>
        <v>756.20000000000073</v>
      </c>
      <c r="U27" s="19">
        <v>2543.1</v>
      </c>
      <c r="V27" s="19">
        <v>2543.1</v>
      </c>
      <c r="W27" s="19">
        <v>3110.2</v>
      </c>
      <c r="X27" s="19"/>
      <c r="Y27" s="19">
        <f t="shared" si="7"/>
        <v>2732.2</v>
      </c>
      <c r="Z27" s="43"/>
      <c r="AA27" s="43"/>
      <c r="AB27" s="44"/>
      <c r="AC27" s="19">
        <f t="shared" si="12"/>
        <v>2732.2</v>
      </c>
      <c r="AD27" s="43"/>
      <c r="AE27" s="19">
        <f t="shared" si="9"/>
        <v>2732.2</v>
      </c>
      <c r="AF27" s="1"/>
      <c r="AG27" s="1"/>
      <c r="AH27" s="1"/>
      <c r="AI27" s="1"/>
      <c r="AJ27" s="36"/>
      <c r="AK27" s="1"/>
      <c r="AL27" s="1"/>
    </row>
    <row r="28" spans="1:38" s="2" customFormat="1" ht="17.100000000000001" customHeight="1">
      <c r="A28" s="6" t="s">
        <v>25</v>
      </c>
      <c r="B28" s="4">
        <v>1</v>
      </c>
      <c r="C28" s="4">
        <v>10</v>
      </c>
      <c r="D28" s="19">
        <v>729</v>
      </c>
      <c r="E28" s="19">
        <v>782.7</v>
      </c>
      <c r="F28" s="54">
        <f t="shared" si="1"/>
        <v>1.0736625514403293</v>
      </c>
      <c r="G28" s="4">
        <v>10</v>
      </c>
      <c r="H28" s="4" t="s">
        <v>68</v>
      </c>
      <c r="I28" s="4" t="s">
        <v>68</v>
      </c>
      <c r="J28" s="54" t="s">
        <v>68</v>
      </c>
      <c r="K28" s="4">
        <v>15</v>
      </c>
      <c r="L28" s="53">
        <v>3.5</v>
      </c>
      <c r="M28" s="53">
        <v>5.7</v>
      </c>
      <c r="N28" s="54">
        <f t="shared" si="2"/>
        <v>0.61403508771929827</v>
      </c>
      <c r="O28" s="4">
        <v>15</v>
      </c>
      <c r="P28" s="24">
        <f t="shared" si="3"/>
        <v>0.85563290943407899</v>
      </c>
      <c r="Q28" s="49">
        <v>54634</v>
      </c>
      <c r="R28" s="19">
        <f t="shared" si="4"/>
        <v>19866.900000000001</v>
      </c>
      <c r="S28" s="19">
        <f t="shared" si="5"/>
        <v>16998.8</v>
      </c>
      <c r="T28" s="19">
        <f t="shared" si="11"/>
        <v>-2868.1000000000022</v>
      </c>
      <c r="U28" s="19">
        <v>4966.7</v>
      </c>
      <c r="V28" s="19">
        <v>4966.8</v>
      </c>
      <c r="W28" s="19">
        <v>2815.6</v>
      </c>
      <c r="X28" s="19"/>
      <c r="Y28" s="19">
        <f t="shared" si="7"/>
        <v>4249.7</v>
      </c>
      <c r="Z28" s="43"/>
      <c r="AA28" s="43"/>
      <c r="AB28" s="44"/>
      <c r="AC28" s="19">
        <f t="shared" si="12"/>
        <v>4249.7</v>
      </c>
      <c r="AD28" s="43"/>
      <c r="AE28" s="19">
        <f t="shared" si="9"/>
        <v>4249.7</v>
      </c>
      <c r="AF28" s="1"/>
      <c r="AG28" s="1"/>
      <c r="AH28" s="1"/>
      <c r="AI28" s="1"/>
      <c r="AJ28" s="36"/>
      <c r="AK28" s="1"/>
      <c r="AL28" s="1"/>
    </row>
    <row r="29" spans="1:38" s="2" customFormat="1" ht="17.100000000000001" customHeight="1">
      <c r="A29" s="6" t="s">
        <v>26</v>
      </c>
      <c r="B29" s="4">
        <v>1</v>
      </c>
      <c r="C29" s="4">
        <v>10</v>
      </c>
      <c r="D29" s="19">
        <v>677</v>
      </c>
      <c r="E29" s="19">
        <v>663.4</v>
      </c>
      <c r="F29" s="54">
        <f t="shared" si="1"/>
        <v>0.97991137370753323</v>
      </c>
      <c r="G29" s="4">
        <v>10</v>
      </c>
      <c r="H29" s="4" t="s">
        <v>68</v>
      </c>
      <c r="I29" s="4" t="s">
        <v>68</v>
      </c>
      <c r="J29" s="54" t="s">
        <v>68</v>
      </c>
      <c r="K29" s="4">
        <v>15</v>
      </c>
      <c r="L29" s="53">
        <v>4.3</v>
      </c>
      <c r="M29" s="53">
        <v>3.1</v>
      </c>
      <c r="N29" s="54">
        <f t="shared" si="2"/>
        <v>1.2187096774193549</v>
      </c>
      <c r="O29" s="4">
        <v>15</v>
      </c>
      <c r="P29" s="24">
        <f t="shared" si="3"/>
        <v>1.0879931113818759</v>
      </c>
      <c r="Q29" s="49">
        <v>33018</v>
      </c>
      <c r="R29" s="19">
        <f t="shared" si="4"/>
        <v>12006.5</v>
      </c>
      <c r="S29" s="19">
        <f t="shared" si="5"/>
        <v>13063</v>
      </c>
      <c r="T29" s="19">
        <f t="shared" si="11"/>
        <v>1056.5</v>
      </c>
      <c r="U29" s="19">
        <v>3001.6</v>
      </c>
      <c r="V29" s="19">
        <v>3001.7</v>
      </c>
      <c r="W29" s="19">
        <v>3794</v>
      </c>
      <c r="X29" s="19"/>
      <c r="Y29" s="19">
        <f t="shared" si="7"/>
        <v>3265.7</v>
      </c>
      <c r="Z29" s="44"/>
      <c r="AA29" s="43"/>
      <c r="AB29" s="44"/>
      <c r="AC29" s="19">
        <f t="shared" si="12"/>
        <v>3265.7</v>
      </c>
      <c r="AD29" s="43"/>
      <c r="AE29" s="19">
        <f t="shared" si="9"/>
        <v>3265.7</v>
      </c>
      <c r="AF29" s="1"/>
      <c r="AG29" s="1"/>
      <c r="AH29" s="1"/>
      <c r="AI29" s="1"/>
      <c r="AJ29" s="36"/>
      <c r="AK29" s="1"/>
      <c r="AL29" s="1"/>
    </row>
    <row r="30" spans="1:38" s="2" customFormat="1" ht="17.100000000000001" customHeight="1">
      <c r="A30" s="6" t="s">
        <v>27</v>
      </c>
      <c r="B30" s="4">
        <v>1</v>
      </c>
      <c r="C30" s="4">
        <v>10</v>
      </c>
      <c r="D30" s="19">
        <v>1650</v>
      </c>
      <c r="E30" s="19">
        <v>2152.6999999999998</v>
      </c>
      <c r="F30" s="54">
        <f t="shared" si="1"/>
        <v>1.2104666666666666</v>
      </c>
      <c r="G30" s="4">
        <v>10</v>
      </c>
      <c r="H30" s="4" t="s">
        <v>68</v>
      </c>
      <c r="I30" s="4" t="s">
        <v>68</v>
      </c>
      <c r="J30" s="54" t="s">
        <v>68</v>
      </c>
      <c r="K30" s="4">
        <v>15</v>
      </c>
      <c r="L30" s="53">
        <v>7</v>
      </c>
      <c r="M30" s="53">
        <v>7</v>
      </c>
      <c r="N30" s="54">
        <f t="shared" si="2"/>
        <v>1</v>
      </c>
      <c r="O30" s="4">
        <v>15</v>
      </c>
      <c r="P30" s="24">
        <f t="shared" si="3"/>
        <v>1.0601333333333334</v>
      </c>
      <c r="Q30" s="49">
        <v>45400</v>
      </c>
      <c r="R30" s="19">
        <f t="shared" si="4"/>
        <v>16509.099999999999</v>
      </c>
      <c r="S30" s="19">
        <f t="shared" si="5"/>
        <v>17501.8</v>
      </c>
      <c r="T30" s="19">
        <f t="shared" si="11"/>
        <v>992.70000000000073</v>
      </c>
      <c r="U30" s="19">
        <v>4127.3</v>
      </c>
      <c r="V30" s="19">
        <v>4127.2</v>
      </c>
      <c r="W30" s="19">
        <v>4871.8999999999996</v>
      </c>
      <c r="X30" s="19"/>
      <c r="Y30" s="19">
        <f t="shared" si="7"/>
        <v>4375.3999999999996</v>
      </c>
      <c r="Z30" s="43"/>
      <c r="AA30" s="43"/>
      <c r="AB30" s="44"/>
      <c r="AC30" s="19">
        <f t="shared" si="12"/>
        <v>4375.3999999999996</v>
      </c>
      <c r="AD30" s="43"/>
      <c r="AE30" s="19">
        <f t="shared" si="9"/>
        <v>4375.3999999999996</v>
      </c>
      <c r="AF30" s="1"/>
      <c r="AG30" s="1"/>
      <c r="AH30" s="1"/>
      <c r="AI30" s="1"/>
      <c r="AJ30" s="36"/>
      <c r="AK30" s="1"/>
      <c r="AL30" s="1"/>
    </row>
    <row r="31" spans="1:38" s="2" customFormat="1" ht="16.5" customHeight="1">
      <c r="A31" s="6" t="s">
        <v>28</v>
      </c>
      <c r="B31" s="4">
        <v>1</v>
      </c>
      <c r="C31" s="4">
        <v>10</v>
      </c>
      <c r="D31" s="19">
        <v>3968</v>
      </c>
      <c r="E31" s="19">
        <v>4203.7</v>
      </c>
      <c r="F31" s="54">
        <f t="shared" si="1"/>
        <v>1.0594002016129032</v>
      </c>
      <c r="G31" s="4">
        <v>10</v>
      </c>
      <c r="H31" s="4" t="s">
        <v>68</v>
      </c>
      <c r="I31" s="4" t="s">
        <v>68</v>
      </c>
      <c r="J31" s="54" t="s">
        <v>68</v>
      </c>
      <c r="K31" s="4">
        <v>15</v>
      </c>
      <c r="L31" s="53">
        <v>11.600000000000001</v>
      </c>
      <c r="M31" s="53">
        <v>11.600000000000001</v>
      </c>
      <c r="N31" s="54">
        <f t="shared" si="2"/>
        <v>1</v>
      </c>
      <c r="O31" s="4">
        <v>15</v>
      </c>
      <c r="P31" s="24">
        <f>(B31*C31+F31*G31+N31*O31)/(C31+G31+O31)</f>
        <v>1.0169714861751151</v>
      </c>
      <c r="Q31" s="49">
        <v>90499</v>
      </c>
      <c r="R31" s="19">
        <f t="shared" si="4"/>
        <v>32908.699999999997</v>
      </c>
      <c r="S31" s="19">
        <f t="shared" si="5"/>
        <v>33467.199999999997</v>
      </c>
      <c r="T31" s="19">
        <f t="shared" si="11"/>
        <v>558.5</v>
      </c>
      <c r="U31" s="19">
        <v>8227.2000000000007</v>
      </c>
      <c r="V31" s="19">
        <v>8227.2000000000007</v>
      </c>
      <c r="W31" s="19">
        <v>8646</v>
      </c>
      <c r="X31" s="19"/>
      <c r="Y31" s="19">
        <f t="shared" si="7"/>
        <v>8366.7999999999993</v>
      </c>
      <c r="Z31" s="43"/>
      <c r="AA31" s="43"/>
      <c r="AB31" s="44"/>
      <c r="AC31" s="19">
        <f t="shared" si="12"/>
        <v>8366.7999999999993</v>
      </c>
      <c r="AD31" s="43"/>
      <c r="AE31" s="19">
        <f t="shared" si="9"/>
        <v>8366.7999999999993</v>
      </c>
      <c r="AF31" s="1"/>
      <c r="AG31" s="1"/>
      <c r="AH31" s="1"/>
      <c r="AI31" s="1"/>
      <c r="AJ31" s="36"/>
      <c r="AK31" s="1"/>
      <c r="AL31" s="1"/>
    </row>
    <row r="32" spans="1:38" s="2" customFormat="1" ht="17.100000000000001" customHeight="1">
      <c r="A32" s="6" t="s">
        <v>29</v>
      </c>
      <c r="B32" s="4">
        <v>1</v>
      </c>
      <c r="C32" s="4">
        <v>10</v>
      </c>
      <c r="D32" s="19">
        <v>978</v>
      </c>
      <c r="E32" s="19">
        <v>928.8</v>
      </c>
      <c r="F32" s="54">
        <f t="shared" si="1"/>
        <v>0.94969325153374229</v>
      </c>
      <c r="G32" s="4">
        <v>10</v>
      </c>
      <c r="H32" s="4" t="s">
        <v>68</v>
      </c>
      <c r="I32" s="4" t="s">
        <v>68</v>
      </c>
      <c r="J32" s="54" t="s">
        <v>68</v>
      </c>
      <c r="K32" s="4">
        <v>15</v>
      </c>
      <c r="L32" s="53">
        <v>2.1</v>
      </c>
      <c r="M32" s="53">
        <v>2.1</v>
      </c>
      <c r="N32" s="54">
        <f t="shared" si="2"/>
        <v>1</v>
      </c>
      <c r="O32" s="4">
        <v>15</v>
      </c>
      <c r="P32" s="24">
        <f t="shared" si="3"/>
        <v>0.98562664329535488</v>
      </c>
      <c r="Q32" s="49">
        <v>40605</v>
      </c>
      <c r="R32" s="19">
        <f t="shared" si="4"/>
        <v>14765.5</v>
      </c>
      <c r="S32" s="19">
        <f t="shared" si="5"/>
        <v>14553.3</v>
      </c>
      <c r="T32" s="19">
        <f t="shared" si="11"/>
        <v>-212.20000000000073</v>
      </c>
      <c r="U32" s="19">
        <v>3691.4</v>
      </c>
      <c r="V32" s="19">
        <v>3691.3</v>
      </c>
      <c r="W32" s="19">
        <v>2609.4</v>
      </c>
      <c r="X32" s="19">
        <v>922.8</v>
      </c>
      <c r="Y32" s="19">
        <f t="shared" si="7"/>
        <v>3638.4</v>
      </c>
      <c r="Z32" s="44"/>
      <c r="AA32" s="43"/>
      <c r="AB32" s="44"/>
      <c r="AC32" s="19">
        <f t="shared" si="12"/>
        <v>3638.4</v>
      </c>
      <c r="AD32" s="43">
        <f>MIN(AC32,922.8)</f>
        <v>922.8</v>
      </c>
      <c r="AE32" s="19">
        <f t="shared" si="9"/>
        <v>2715.6</v>
      </c>
      <c r="AF32" s="1"/>
      <c r="AG32" s="1"/>
      <c r="AH32" s="1"/>
      <c r="AI32" s="1"/>
      <c r="AJ32" s="36"/>
    </row>
    <row r="33" spans="1:38" s="2" customFormat="1" ht="17.100000000000001" customHeight="1">
      <c r="A33" s="6" t="s">
        <v>30</v>
      </c>
      <c r="B33" s="4">
        <v>1</v>
      </c>
      <c r="C33" s="4">
        <v>10</v>
      </c>
      <c r="D33" s="19">
        <v>3030</v>
      </c>
      <c r="E33" s="19">
        <v>3017.5</v>
      </c>
      <c r="F33" s="54">
        <f t="shared" si="1"/>
        <v>0.99587458745874591</v>
      </c>
      <c r="G33" s="4">
        <v>10</v>
      </c>
      <c r="H33" s="4" t="s">
        <v>68</v>
      </c>
      <c r="I33" s="4" t="s">
        <v>68</v>
      </c>
      <c r="J33" s="54" t="s">
        <v>68</v>
      </c>
      <c r="K33" s="4">
        <v>15</v>
      </c>
      <c r="L33" s="53">
        <v>5</v>
      </c>
      <c r="M33" s="53">
        <v>1.1000000000000001</v>
      </c>
      <c r="N33" s="54">
        <f t="shared" si="2"/>
        <v>1.3</v>
      </c>
      <c r="O33" s="4">
        <v>15</v>
      </c>
      <c r="P33" s="24">
        <f t="shared" si="3"/>
        <v>1.1273927392739274</v>
      </c>
      <c r="Q33" s="49">
        <v>60054</v>
      </c>
      <c r="R33" s="19">
        <f t="shared" si="4"/>
        <v>21837.8</v>
      </c>
      <c r="S33" s="19">
        <f t="shared" si="5"/>
        <v>24619.8</v>
      </c>
      <c r="T33" s="19">
        <f t="shared" si="11"/>
        <v>2782</v>
      </c>
      <c r="U33" s="19">
        <v>5459.5</v>
      </c>
      <c r="V33" s="19">
        <v>5459.4</v>
      </c>
      <c r="W33" s="19">
        <v>6181.1</v>
      </c>
      <c r="X33" s="19">
        <v>1364.9</v>
      </c>
      <c r="Y33" s="19">
        <f t="shared" si="7"/>
        <v>6154.9</v>
      </c>
      <c r="Z33" s="43"/>
      <c r="AA33" s="43"/>
      <c r="AB33" s="44"/>
      <c r="AC33" s="19">
        <f t="shared" si="12"/>
        <v>6154.9</v>
      </c>
      <c r="AD33" s="43">
        <f>MIN(AC33,1364.9)</f>
        <v>1364.9</v>
      </c>
      <c r="AE33" s="19">
        <f t="shared" si="9"/>
        <v>4790</v>
      </c>
      <c r="AF33" s="1"/>
      <c r="AG33" s="1"/>
      <c r="AH33" s="1"/>
      <c r="AI33" s="1"/>
      <c r="AJ33" s="36"/>
      <c r="AK33" s="1"/>
      <c r="AL33" s="1"/>
    </row>
    <row r="34" spans="1:38" s="2" customFormat="1" ht="17.100000000000001" customHeight="1">
      <c r="A34" s="6" t="s">
        <v>31</v>
      </c>
      <c r="B34" s="4">
        <v>1</v>
      </c>
      <c r="C34" s="4">
        <v>10</v>
      </c>
      <c r="D34" s="19">
        <v>1200</v>
      </c>
      <c r="E34" s="19">
        <v>1218.0999999999999</v>
      </c>
      <c r="F34" s="54">
        <f t="shared" si="1"/>
        <v>1.0150833333333333</v>
      </c>
      <c r="G34" s="4">
        <v>10</v>
      </c>
      <c r="H34" s="4" t="s">
        <v>68</v>
      </c>
      <c r="I34" s="4" t="s">
        <v>68</v>
      </c>
      <c r="J34" s="54" t="s">
        <v>68</v>
      </c>
      <c r="K34" s="4">
        <v>15</v>
      </c>
      <c r="L34" s="53">
        <v>66.5</v>
      </c>
      <c r="M34" s="53">
        <v>68.099999999999994</v>
      </c>
      <c r="N34" s="54">
        <f t="shared" si="2"/>
        <v>0.97650513950073425</v>
      </c>
      <c r="O34" s="4">
        <v>15</v>
      </c>
      <c r="P34" s="24">
        <f t="shared" si="3"/>
        <v>0.994240297881267</v>
      </c>
      <c r="Q34" s="49">
        <v>61604</v>
      </c>
      <c r="R34" s="19">
        <f t="shared" si="4"/>
        <v>22401.5</v>
      </c>
      <c r="S34" s="19">
        <f t="shared" si="5"/>
        <v>22272.5</v>
      </c>
      <c r="T34" s="19">
        <f t="shared" si="11"/>
        <v>-129</v>
      </c>
      <c r="U34" s="19">
        <v>5022</v>
      </c>
      <c r="V34" s="19">
        <v>5022</v>
      </c>
      <c r="W34" s="19">
        <v>6660.3</v>
      </c>
      <c r="X34" s="19"/>
      <c r="Y34" s="19">
        <f t="shared" si="7"/>
        <v>5568.2</v>
      </c>
      <c r="Z34" s="43"/>
      <c r="AA34" s="43"/>
      <c r="AB34" s="44"/>
      <c r="AC34" s="19">
        <f t="shared" si="12"/>
        <v>5568.2</v>
      </c>
      <c r="AD34" s="43"/>
      <c r="AE34" s="19">
        <f t="shared" si="9"/>
        <v>5568.2</v>
      </c>
      <c r="AF34" s="1"/>
      <c r="AG34" s="1"/>
      <c r="AH34" s="1"/>
      <c r="AI34" s="1"/>
      <c r="AJ34" s="36"/>
    </row>
    <row r="35" spans="1:38" s="2" customFormat="1" ht="17.100000000000001" customHeight="1">
      <c r="A35" s="6" t="s">
        <v>1</v>
      </c>
      <c r="B35" s="4">
        <v>1</v>
      </c>
      <c r="C35" s="4">
        <v>10</v>
      </c>
      <c r="D35" s="19">
        <v>8533</v>
      </c>
      <c r="E35" s="19">
        <v>8255</v>
      </c>
      <c r="F35" s="54">
        <f t="shared" si="1"/>
        <v>0.96742060236728</v>
      </c>
      <c r="G35" s="4">
        <v>10</v>
      </c>
      <c r="H35" s="4" t="s">
        <v>68</v>
      </c>
      <c r="I35" s="4" t="s">
        <v>68</v>
      </c>
      <c r="J35" s="54" t="s">
        <v>68</v>
      </c>
      <c r="K35" s="4">
        <v>15</v>
      </c>
      <c r="L35" s="53">
        <v>62.8</v>
      </c>
      <c r="M35" s="53">
        <v>48.5</v>
      </c>
      <c r="N35" s="54">
        <f t="shared" si="2"/>
        <v>1.2094845360824742</v>
      </c>
      <c r="O35" s="4">
        <v>15</v>
      </c>
      <c r="P35" s="24">
        <f t="shared" si="3"/>
        <v>1.0804706875688546</v>
      </c>
      <c r="Q35" s="49">
        <v>90750</v>
      </c>
      <c r="R35" s="19">
        <f t="shared" si="4"/>
        <v>33000</v>
      </c>
      <c r="S35" s="19">
        <f t="shared" si="5"/>
        <v>35655.5</v>
      </c>
      <c r="T35" s="19">
        <f t="shared" si="11"/>
        <v>2655.5</v>
      </c>
      <c r="U35" s="19">
        <v>8250</v>
      </c>
      <c r="V35" s="19">
        <v>8250</v>
      </c>
      <c r="W35" s="19">
        <v>8179.1</v>
      </c>
      <c r="X35" s="19">
        <v>2062.5</v>
      </c>
      <c r="Y35" s="19">
        <f t="shared" si="7"/>
        <v>8913.9</v>
      </c>
      <c r="Z35" s="43"/>
      <c r="AA35" s="43"/>
      <c r="AB35" s="44"/>
      <c r="AC35" s="19">
        <f t="shared" si="12"/>
        <v>8913.9</v>
      </c>
      <c r="AD35" s="43">
        <f>MIN(AC35,2062.5)</f>
        <v>2062.5</v>
      </c>
      <c r="AE35" s="19">
        <f t="shared" si="9"/>
        <v>6851.4</v>
      </c>
      <c r="AF35" s="1"/>
      <c r="AG35" s="1"/>
      <c r="AH35" s="1"/>
      <c r="AI35" s="1"/>
      <c r="AJ35" s="36"/>
      <c r="AK35" s="1"/>
      <c r="AL35" s="1"/>
    </row>
    <row r="36" spans="1:38" s="2" customFormat="1" ht="17.100000000000001" customHeight="1">
      <c r="A36" s="6" t="s">
        <v>32</v>
      </c>
      <c r="B36" s="4">
        <v>1</v>
      </c>
      <c r="C36" s="4">
        <v>10</v>
      </c>
      <c r="D36" s="19">
        <v>3418</v>
      </c>
      <c r="E36" s="19">
        <v>4098.1000000000004</v>
      </c>
      <c r="F36" s="54">
        <f t="shared" si="1"/>
        <v>1.1989760093622002</v>
      </c>
      <c r="G36" s="4">
        <v>10</v>
      </c>
      <c r="H36" s="4" t="s">
        <v>68</v>
      </c>
      <c r="I36" s="4" t="s">
        <v>68</v>
      </c>
      <c r="J36" s="54" t="s">
        <v>68</v>
      </c>
      <c r="K36" s="4">
        <v>15</v>
      </c>
      <c r="L36" s="53">
        <v>177.3</v>
      </c>
      <c r="M36" s="53">
        <v>199.4</v>
      </c>
      <c r="N36" s="54">
        <f t="shared" si="2"/>
        <v>0.88916750250752263</v>
      </c>
      <c r="O36" s="4">
        <v>15</v>
      </c>
      <c r="P36" s="24">
        <f t="shared" si="3"/>
        <v>1.0093506466067097</v>
      </c>
      <c r="Q36" s="49">
        <v>62785</v>
      </c>
      <c r="R36" s="19">
        <f t="shared" si="4"/>
        <v>22830.9</v>
      </c>
      <c r="S36" s="19">
        <f t="shared" si="5"/>
        <v>23044.400000000001</v>
      </c>
      <c r="T36" s="19">
        <f t="shared" si="11"/>
        <v>213.5</v>
      </c>
      <c r="U36" s="19">
        <v>5707.7</v>
      </c>
      <c r="V36" s="19">
        <v>5707.8</v>
      </c>
      <c r="W36" s="19">
        <v>5867.8</v>
      </c>
      <c r="X36" s="19"/>
      <c r="Y36" s="19">
        <f t="shared" si="7"/>
        <v>5761.1</v>
      </c>
      <c r="Z36" s="43"/>
      <c r="AA36" s="43"/>
      <c r="AB36" s="44"/>
      <c r="AC36" s="19">
        <f t="shared" si="12"/>
        <v>5761.1</v>
      </c>
      <c r="AD36" s="43"/>
      <c r="AE36" s="19">
        <f t="shared" si="9"/>
        <v>5761.1</v>
      </c>
      <c r="AF36" s="1"/>
      <c r="AG36" s="1"/>
      <c r="AH36" s="1"/>
      <c r="AI36" s="1"/>
      <c r="AJ36" s="36"/>
      <c r="AK36" s="1"/>
      <c r="AL36" s="1"/>
    </row>
    <row r="37" spans="1:38" s="2" customFormat="1" ht="17.100000000000001" customHeight="1">
      <c r="A37" s="6" t="s">
        <v>33</v>
      </c>
      <c r="B37" s="4">
        <v>1</v>
      </c>
      <c r="C37" s="4">
        <v>10</v>
      </c>
      <c r="D37" s="19">
        <v>1093</v>
      </c>
      <c r="E37" s="19">
        <v>1144.5</v>
      </c>
      <c r="F37" s="54">
        <f t="shared" si="1"/>
        <v>1.0471180237877402</v>
      </c>
      <c r="G37" s="4">
        <v>10</v>
      </c>
      <c r="H37" s="4" t="s">
        <v>68</v>
      </c>
      <c r="I37" s="4" t="s">
        <v>68</v>
      </c>
      <c r="J37" s="54" t="s">
        <v>68</v>
      </c>
      <c r="K37" s="4">
        <v>15</v>
      </c>
      <c r="L37" s="53">
        <v>10.1</v>
      </c>
      <c r="M37" s="53">
        <v>20.9</v>
      </c>
      <c r="N37" s="54">
        <f t="shared" si="2"/>
        <v>0.48325358851674644</v>
      </c>
      <c r="O37" s="4">
        <v>15</v>
      </c>
      <c r="P37" s="24">
        <f t="shared" si="3"/>
        <v>0.79199954473224565</v>
      </c>
      <c r="Q37" s="49">
        <v>36975</v>
      </c>
      <c r="R37" s="19">
        <f t="shared" si="4"/>
        <v>13445.5</v>
      </c>
      <c r="S37" s="19">
        <f t="shared" si="5"/>
        <v>10648.8</v>
      </c>
      <c r="T37" s="19">
        <f t="shared" si="11"/>
        <v>-2796.7000000000007</v>
      </c>
      <c r="U37" s="19">
        <v>3361.4</v>
      </c>
      <c r="V37" s="19">
        <v>3361.3</v>
      </c>
      <c r="W37" s="19">
        <v>1263.9000000000001</v>
      </c>
      <c r="X37" s="19"/>
      <c r="Y37" s="19">
        <f t="shared" si="7"/>
        <v>2662.2</v>
      </c>
      <c r="Z37" s="43"/>
      <c r="AA37" s="43"/>
      <c r="AB37" s="44"/>
      <c r="AC37" s="19">
        <f t="shared" si="12"/>
        <v>2662.2</v>
      </c>
      <c r="AD37" s="43"/>
      <c r="AE37" s="19">
        <f t="shared" si="9"/>
        <v>2662.2</v>
      </c>
      <c r="AF37" s="1"/>
      <c r="AG37" s="1"/>
      <c r="AH37" s="1"/>
      <c r="AI37" s="1"/>
      <c r="AJ37" s="36"/>
      <c r="AK37" s="1"/>
      <c r="AL37" s="1"/>
    </row>
    <row r="38" spans="1:38" s="2" customFormat="1" ht="17.100000000000001" customHeight="1">
      <c r="A38" s="6" t="s">
        <v>34</v>
      </c>
      <c r="B38" s="4">
        <v>1</v>
      </c>
      <c r="C38" s="4">
        <v>10</v>
      </c>
      <c r="D38" s="19">
        <v>1377</v>
      </c>
      <c r="E38" s="19">
        <v>1402.9</v>
      </c>
      <c r="F38" s="54">
        <f t="shared" si="1"/>
        <v>1.018809005083515</v>
      </c>
      <c r="G38" s="4">
        <v>10</v>
      </c>
      <c r="H38" s="4" t="s">
        <v>68</v>
      </c>
      <c r="I38" s="4" t="s">
        <v>68</v>
      </c>
      <c r="J38" s="54" t="s">
        <v>68</v>
      </c>
      <c r="K38" s="4">
        <v>15</v>
      </c>
      <c r="L38" s="53">
        <v>3.5</v>
      </c>
      <c r="M38" s="53">
        <v>3.5</v>
      </c>
      <c r="N38" s="54">
        <f t="shared" si="2"/>
        <v>1</v>
      </c>
      <c r="O38" s="4">
        <v>15</v>
      </c>
      <c r="P38" s="24">
        <f t="shared" si="3"/>
        <v>1.0053740014524328</v>
      </c>
      <c r="Q38" s="49">
        <v>84816</v>
      </c>
      <c r="R38" s="19">
        <f t="shared" si="4"/>
        <v>30842.2</v>
      </c>
      <c r="S38" s="19">
        <f t="shared" si="5"/>
        <v>31007.9</v>
      </c>
      <c r="T38" s="19">
        <f t="shared" si="11"/>
        <v>165.70000000000073</v>
      </c>
      <c r="U38" s="19">
        <v>7710.5</v>
      </c>
      <c r="V38" s="19">
        <v>7710.6</v>
      </c>
      <c r="W38" s="19">
        <v>7834.8</v>
      </c>
      <c r="X38" s="19"/>
      <c r="Y38" s="19">
        <f t="shared" si="7"/>
        <v>7752</v>
      </c>
      <c r="Z38" s="44"/>
      <c r="AA38" s="43"/>
      <c r="AB38" s="44"/>
      <c r="AC38" s="19">
        <f t="shared" si="12"/>
        <v>7752</v>
      </c>
      <c r="AD38" s="43"/>
      <c r="AE38" s="19">
        <f t="shared" si="9"/>
        <v>7752</v>
      </c>
      <c r="AF38" s="1"/>
      <c r="AG38" s="1"/>
      <c r="AH38" s="1"/>
      <c r="AI38" s="1"/>
      <c r="AJ38" s="36"/>
      <c r="AK38" s="1"/>
      <c r="AL38" s="1"/>
    </row>
    <row r="39" spans="1:38" s="2" customFormat="1" ht="17.100000000000001" customHeight="1">
      <c r="A39" s="6" t="s">
        <v>35</v>
      </c>
      <c r="B39" s="4">
        <v>1</v>
      </c>
      <c r="C39" s="4">
        <v>10</v>
      </c>
      <c r="D39" s="19">
        <v>1543</v>
      </c>
      <c r="E39" s="19">
        <v>1686.4</v>
      </c>
      <c r="F39" s="54">
        <f t="shared" si="1"/>
        <v>1.0929358392741413</v>
      </c>
      <c r="G39" s="4">
        <v>10</v>
      </c>
      <c r="H39" s="4" t="s">
        <v>68</v>
      </c>
      <c r="I39" s="4" t="s">
        <v>68</v>
      </c>
      <c r="J39" s="54" t="s">
        <v>68</v>
      </c>
      <c r="K39" s="4">
        <v>15</v>
      </c>
      <c r="L39" s="53">
        <v>43.8</v>
      </c>
      <c r="M39" s="53">
        <v>59.3</v>
      </c>
      <c r="N39" s="54">
        <f t="shared" si="2"/>
        <v>0.73861720067453629</v>
      </c>
      <c r="O39" s="4">
        <v>15</v>
      </c>
      <c r="P39" s="24">
        <f t="shared" si="3"/>
        <v>0.91453189722455597</v>
      </c>
      <c r="Q39" s="49">
        <v>65782</v>
      </c>
      <c r="R39" s="19">
        <f t="shared" si="4"/>
        <v>23920.7</v>
      </c>
      <c r="S39" s="19">
        <f t="shared" si="5"/>
        <v>21876.2</v>
      </c>
      <c r="T39" s="19">
        <f t="shared" si="11"/>
        <v>-2044.5</v>
      </c>
      <c r="U39" s="19">
        <v>5980.2</v>
      </c>
      <c r="V39" s="19">
        <v>5980.2</v>
      </c>
      <c r="W39" s="19">
        <v>2951.8</v>
      </c>
      <c r="X39" s="19">
        <v>1495</v>
      </c>
      <c r="Y39" s="19">
        <f t="shared" si="7"/>
        <v>5469</v>
      </c>
      <c r="Z39" s="44"/>
      <c r="AA39" s="43"/>
      <c r="AB39" s="44"/>
      <c r="AC39" s="19">
        <f t="shared" si="12"/>
        <v>5469</v>
      </c>
      <c r="AD39" s="43">
        <f>MIN(AC39,1495)</f>
        <v>1495</v>
      </c>
      <c r="AE39" s="19">
        <f t="shared" si="9"/>
        <v>3974</v>
      </c>
      <c r="AF39" s="1"/>
      <c r="AG39" s="1"/>
      <c r="AH39" s="1"/>
      <c r="AI39" s="1"/>
      <c r="AJ39" s="36"/>
      <c r="AK39" s="1"/>
      <c r="AL39" s="1"/>
    </row>
    <row r="40" spans="1:38" s="2" customFormat="1" ht="17.100000000000001" customHeight="1">
      <c r="A40" s="6" t="s">
        <v>36</v>
      </c>
      <c r="B40" s="4">
        <v>1</v>
      </c>
      <c r="C40" s="4">
        <v>10</v>
      </c>
      <c r="D40" s="19">
        <v>4337</v>
      </c>
      <c r="E40" s="19">
        <v>4922.3</v>
      </c>
      <c r="F40" s="54">
        <f t="shared" si="1"/>
        <v>1.1349550380447315</v>
      </c>
      <c r="G40" s="4">
        <v>10</v>
      </c>
      <c r="H40" s="4" t="s">
        <v>68</v>
      </c>
      <c r="I40" s="4" t="s">
        <v>68</v>
      </c>
      <c r="J40" s="54" t="s">
        <v>68</v>
      </c>
      <c r="K40" s="4">
        <v>15</v>
      </c>
      <c r="L40" s="53">
        <v>39.200000000000003</v>
      </c>
      <c r="M40" s="53">
        <v>37.700000000000003</v>
      </c>
      <c r="N40" s="54">
        <f t="shared" si="2"/>
        <v>1.039787798408488</v>
      </c>
      <c r="O40" s="4">
        <v>15</v>
      </c>
      <c r="P40" s="24">
        <f t="shared" si="3"/>
        <v>1.0556104959021324</v>
      </c>
      <c r="Q40" s="49">
        <v>83183</v>
      </c>
      <c r="R40" s="19">
        <f t="shared" si="4"/>
        <v>30248.400000000001</v>
      </c>
      <c r="S40" s="19">
        <f t="shared" si="5"/>
        <v>31930.5</v>
      </c>
      <c r="T40" s="19">
        <f t="shared" si="11"/>
        <v>1682.0999999999985</v>
      </c>
      <c r="U40" s="19">
        <v>7002.4</v>
      </c>
      <c r="V40" s="19">
        <v>7002.3</v>
      </c>
      <c r="W40" s="19">
        <v>9943.2000000000007</v>
      </c>
      <c r="X40" s="19"/>
      <c r="Y40" s="19">
        <f t="shared" si="7"/>
        <v>7982.6</v>
      </c>
      <c r="Z40" s="43"/>
      <c r="AA40" s="43"/>
      <c r="AB40" s="44"/>
      <c r="AC40" s="19">
        <f t="shared" si="12"/>
        <v>7982.6</v>
      </c>
      <c r="AD40" s="43"/>
      <c r="AE40" s="19">
        <f t="shared" si="9"/>
        <v>7982.6</v>
      </c>
      <c r="AF40" s="1"/>
      <c r="AG40" s="1"/>
      <c r="AH40" s="1"/>
      <c r="AI40" s="1"/>
      <c r="AJ40" s="36"/>
      <c r="AK40" s="1"/>
      <c r="AL40" s="1"/>
    </row>
    <row r="41" spans="1:38" s="2" customFormat="1" ht="17.100000000000001" customHeight="1">
      <c r="A41" s="6" t="s">
        <v>37</v>
      </c>
      <c r="B41" s="4">
        <v>1</v>
      </c>
      <c r="C41" s="4">
        <v>10</v>
      </c>
      <c r="D41" s="19">
        <v>9345</v>
      </c>
      <c r="E41" s="19">
        <v>12303.6</v>
      </c>
      <c r="F41" s="54">
        <f t="shared" si="1"/>
        <v>1.2116597110754415</v>
      </c>
      <c r="G41" s="4">
        <v>10</v>
      </c>
      <c r="H41" s="4" t="s">
        <v>68</v>
      </c>
      <c r="I41" s="4" t="s">
        <v>68</v>
      </c>
      <c r="J41" s="54" t="s">
        <v>68</v>
      </c>
      <c r="K41" s="4">
        <v>15</v>
      </c>
      <c r="L41" s="53">
        <v>158</v>
      </c>
      <c r="M41" s="53">
        <v>190</v>
      </c>
      <c r="N41" s="54">
        <f t="shared" si="2"/>
        <v>0.83157894736842108</v>
      </c>
      <c r="O41" s="4">
        <v>15</v>
      </c>
      <c r="P41" s="24">
        <f t="shared" si="3"/>
        <v>0.9882937520365922</v>
      </c>
      <c r="Q41" s="49">
        <v>101060</v>
      </c>
      <c r="R41" s="19">
        <f t="shared" si="4"/>
        <v>36749.1</v>
      </c>
      <c r="S41" s="19">
        <f t="shared" si="5"/>
        <v>36318.9</v>
      </c>
      <c r="T41" s="19">
        <f t="shared" si="11"/>
        <v>-430.19999999999709</v>
      </c>
      <c r="U41" s="19">
        <v>9187.2999999999993</v>
      </c>
      <c r="V41" s="19">
        <v>9187.2000000000007</v>
      </c>
      <c r="W41" s="19">
        <v>6567.9</v>
      </c>
      <c r="X41" s="19">
        <v>2296.8000000000002</v>
      </c>
      <c r="Y41" s="19">
        <f t="shared" si="7"/>
        <v>9079.7000000000007</v>
      </c>
      <c r="Z41" s="43"/>
      <c r="AA41" s="43"/>
      <c r="AB41" s="44"/>
      <c r="AC41" s="19">
        <f t="shared" si="12"/>
        <v>9079.7000000000007</v>
      </c>
      <c r="AD41" s="43">
        <f>MIN(AC41,2296.8)</f>
        <v>2296.8000000000002</v>
      </c>
      <c r="AE41" s="19">
        <f t="shared" si="9"/>
        <v>6782.9</v>
      </c>
      <c r="AF41" s="1"/>
      <c r="AG41" s="1"/>
      <c r="AH41" s="1"/>
      <c r="AI41" s="1"/>
      <c r="AJ41" s="36"/>
      <c r="AK41" s="1"/>
      <c r="AL41" s="1"/>
    </row>
    <row r="42" spans="1:38" s="2" customFormat="1" ht="17.100000000000001" customHeight="1">
      <c r="A42" s="6" t="s">
        <v>38</v>
      </c>
      <c r="B42" s="4">
        <v>1</v>
      </c>
      <c r="C42" s="4">
        <v>10</v>
      </c>
      <c r="D42" s="19">
        <v>2372</v>
      </c>
      <c r="E42" s="19">
        <v>2284.4</v>
      </c>
      <c r="F42" s="54">
        <f t="shared" si="1"/>
        <v>0.96306913996627319</v>
      </c>
      <c r="G42" s="4">
        <v>10</v>
      </c>
      <c r="H42" s="4" t="s">
        <v>68</v>
      </c>
      <c r="I42" s="4" t="s">
        <v>68</v>
      </c>
      <c r="J42" s="54" t="s">
        <v>68</v>
      </c>
      <c r="K42" s="4">
        <v>15</v>
      </c>
      <c r="L42" s="53">
        <v>8.5</v>
      </c>
      <c r="M42" s="53">
        <v>7.1</v>
      </c>
      <c r="N42" s="54">
        <f t="shared" si="2"/>
        <v>1.1971830985915493</v>
      </c>
      <c r="O42" s="4">
        <v>15</v>
      </c>
      <c r="P42" s="24">
        <f t="shared" si="3"/>
        <v>1.0739553679581706</v>
      </c>
      <c r="Q42" s="49">
        <v>56690</v>
      </c>
      <c r="R42" s="19">
        <f t="shared" si="4"/>
        <v>20614.5</v>
      </c>
      <c r="S42" s="19">
        <f t="shared" si="5"/>
        <v>22139.1</v>
      </c>
      <c r="T42" s="19">
        <f t="shared" si="11"/>
        <v>1524.5999999999985</v>
      </c>
      <c r="U42" s="19">
        <v>5153.6000000000004</v>
      </c>
      <c r="V42" s="19">
        <v>5153.7</v>
      </c>
      <c r="W42" s="19">
        <v>6297</v>
      </c>
      <c r="X42" s="19"/>
      <c r="Y42" s="19">
        <f t="shared" si="7"/>
        <v>5534.8</v>
      </c>
      <c r="Z42" s="44"/>
      <c r="AA42" s="43"/>
      <c r="AB42" s="44"/>
      <c r="AC42" s="19">
        <f t="shared" si="12"/>
        <v>5534.8</v>
      </c>
      <c r="AD42" s="43"/>
      <c r="AE42" s="19">
        <f t="shared" si="9"/>
        <v>5534.8</v>
      </c>
      <c r="AF42" s="1"/>
      <c r="AG42" s="1"/>
      <c r="AH42" s="1"/>
      <c r="AI42" s="1"/>
      <c r="AJ42" s="36"/>
      <c r="AK42" s="1"/>
      <c r="AL42" s="1"/>
    </row>
    <row r="43" spans="1:38" s="2" customFormat="1" ht="17.100000000000001" customHeight="1">
      <c r="A43" s="6" t="s">
        <v>2</v>
      </c>
      <c r="B43" s="4">
        <v>1</v>
      </c>
      <c r="C43" s="4">
        <v>10</v>
      </c>
      <c r="D43" s="19">
        <v>1056</v>
      </c>
      <c r="E43" s="19">
        <v>1067.3</v>
      </c>
      <c r="F43" s="54">
        <f t="shared" si="1"/>
        <v>1.0107007575757576</v>
      </c>
      <c r="G43" s="4">
        <v>10</v>
      </c>
      <c r="H43" s="4" t="s">
        <v>68</v>
      </c>
      <c r="I43" s="4" t="s">
        <v>68</v>
      </c>
      <c r="J43" s="54" t="s">
        <v>68</v>
      </c>
      <c r="K43" s="4">
        <v>15</v>
      </c>
      <c r="L43" s="53">
        <v>15.2</v>
      </c>
      <c r="M43" s="53">
        <v>10.6</v>
      </c>
      <c r="N43" s="54">
        <f t="shared" si="2"/>
        <v>1.2233962264150944</v>
      </c>
      <c r="O43" s="4">
        <v>15</v>
      </c>
      <c r="P43" s="24">
        <f t="shared" si="3"/>
        <v>1.0987985991995426</v>
      </c>
      <c r="Q43" s="49">
        <v>50318</v>
      </c>
      <c r="R43" s="19">
        <f t="shared" si="4"/>
        <v>18297.5</v>
      </c>
      <c r="S43" s="19">
        <f t="shared" si="5"/>
        <v>20105.3</v>
      </c>
      <c r="T43" s="19">
        <f t="shared" si="11"/>
        <v>1807.7999999999993</v>
      </c>
      <c r="U43" s="19">
        <v>4574.3999999999996</v>
      </c>
      <c r="V43" s="19">
        <v>4574.3</v>
      </c>
      <c r="W43" s="19">
        <v>5930.2</v>
      </c>
      <c r="X43" s="19"/>
      <c r="Y43" s="19">
        <f t="shared" si="7"/>
        <v>5026.3999999999996</v>
      </c>
      <c r="Z43" s="44"/>
      <c r="AA43" s="43"/>
      <c r="AB43" s="44"/>
      <c r="AC43" s="19">
        <f t="shared" si="12"/>
        <v>5026.3999999999996</v>
      </c>
      <c r="AD43" s="43"/>
      <c r="AE43" s="19">
        <f t="shared" si="9"/>
        <v>5026.3999999999996</v>
      </c>
      <c r="AF43" s="1"/>
      <c r="AG43" s="1"/>
      <c r="AH43" s="1"/>
      <c r="AI43" s="1"/>
      <c r="AJ43" s="36"/>
      <c r="AK43" s="1"/>
      <c r="AL43" s="1"/>
    </row>
    <row r="44" spans="1:38" s="2" customFormat="1" ht="17.100000000000001" customHeight="1">
      <c r="A44" s="6" t="s">
        <v>39</v>
      </c>
      <c r="B44" s="4">
        <v>1</v>
      </c>
      <c r="C44" s="4">
        <v>10</v>
      </c>
      <c r="D44" s="19">
        <v>998</v>
      </c>
      <c r="E44" s="19">
        <v>1039.3</v>
      </c>
      <c r="F44" s="54">
        <f t="shared" si="1"/>
        <v>1.0413827655310621</v>
      </c>
      <c r="G44" s="4">
        <v>10</v>
      </c>
      <c r="H44" s="4" t="s">
        <v>68</v>
      </c>
      <c r="I44" s="4" t="s">
        <v>68</v>
      </c>
      <c r="J44" s="54" t="s">
        <v>68</v>
      </c>
      <c r="K44" s="4">
        <v>15</v>
      </c>
      <c r="L44" s="53">
        <v>11.7</v>
      </c>
      <c r="M44" s="53">
        <v>6.7</v>
      </c>
      <c r="N44" s="54">
        <f t="shared" si="2"/>
        <v>1.2546268656716417</v>
      </c>
      <c r="O44" s="4">
        <v>15</v>
      </c>
      <c r="P44" s="24">
        <f t="shared" si="3"/>
        <v>1.1209494468681498</v>
      </c>
      <c r="Q44" s="49">
        <v>46028</v>
      </c>
      <c r="R44" s="19">
        <f t="shared" si="4"/>
        <v>16737.5</v>
      </c>
      <c r="S44" s="19">
        <f t="shared" si="5"/>
        <v>18761.900000000001</v>
      </c>
      <c r="T44" s="19">
        <f t="shared" si="11"/>
        <v>2024.4000000000015</v>
      </c>
      <c r="U44" s="19">
        <v>4184.3999999999996</v>
      </c>
      <c r="V44" s="19">
        <v>4184.3</v>
      </c>
      <c r="W44" s="19">
        <v>5702.7</v>
      </c>
      <c r="X44" s="19"/>
      <c r="Y44" s="19">
        <f t="shared" si="7"/>
        <v>4690.5</v>
      </c>
      <c r="Z44" s="44"/>
      <c r="AA44" s="43"/>
      <c r="AB44" s="44"/>
      <c r="AC44" s="19">
        <f t="shared" si="12"/>
        <v>4690.5</v>
      </c>
      <c r="AD44" s="43"/>
      <c r="AE44" s="19">
        <f t="shared" si="9"/>
        <v>4690.5</v>
      </c>
      <c r="AF44" s="1"/>
      <c r="AG44" s="1"/>
      <c r="AH44" s="1"/>
      <c r="AI44" s="1"/>
      <c r="AJ44" s="36"/>
      <c r="AK44" s="1"/>
      <c r="AL44" s="1"/>
    </row>
    <row r="45" spans="1:38" s="2" customFormat="1" ht="17.100000000000001" customHeight="1">
      <c r="A45" s="6" t="s">
        <v>3</v>
      </c>
      <c r="B45" s="4">
        <v>1</v>
      </c>
      <c r="C45" s="4">
        <v>10</v>
      </c>
      <c r="D45" s="19">
        <v>1420</v>
      </c>
      <c r="E45" s="19">
        <v>1615.2</v>
      </c>
      <c r="F45" s="54">
        <f t="shared" si="1"/>
        <v>1.1374647887323943</v>
      </c>
      <c r="G45" s="4">
        <v>10</v>
      </c>
      <c r="H45" s="4" t="s">
        <v>68</v>
      </c>
      <c r="I45" s="4" t="s">
        <v>68</v>
      </c>
      <c r="J45" s="54" t="s">
        <v>68</v>
      </c>
      <c r="K45" s="4">
        <v>15</v>
      </c>
      <c r="L45" s="53">
        <v>10.6</v>
      </c>
      <c r="M45" s="53">
        <v>3.2</v>
      </c>
      <c r="N45" s="54">
        <f t="shared" si="2"/>
        <v>1.3</v>
      </c>
      <c r="O45" s="4">
        <v>15</v>
      </c>
      <c r="P45" s="24">
        <f t="shared" si="3"/>
        <v>1.1678470824949698</v>
      </c>
      <c r="Q45" s="49">
        <v>46360</v>
      </c>
      <c r="R45" s="19">
        <f t="shared" si="4"/>
        <v>16858.2</v>
      </c>
      <c r="S45" s="19">
        <f t="shared" si="5"/>
        <v>19687.8</v>
      </c>
      <c r="T45" s="19">
        <f t="shared" si="11"/>
        <v>2829.5999999999985</v>
      </c>
      <c r="U45" s="19">
        <v>4214.5</v>
      </c>
      <c r="V45" s="19">
        <v>4214.6000000000004</v>
      </c>
      <c r="W45" s="19">
        <v>5283.1</v>
      </c>
      <c r="X45" s="19">
        <v>1053.5999999999999</v>
      </c>
      <c r="Y45" s="19">
        <f t="shared" si="7"/>
        <v>4922</v>
      </c>
      <c r="Z45" s="44"/>
      <c r="AA45" s="43"/>
      <c r="AB45" s="44"/>
      <c r="AC45" s="19">
        <f t="shared" si="12"/>
        <v>4922</v>
      </c>
      <c r="AD45" s="43">
        <f>MIN(AC45,1053.6)</f>
        <v>1053.5999999999999</v>
      </c>
      <c r="AE45" s="19">
        <f t="shared" si="9"/>
        <v>3868.4</v>
      </c>
      <c r="AF45" s="1"/>
      <c r="AG45" s="1"/>
      <c r="AH45" s="1"/>
      <c r="AI45" s="1"/>
      <c r="AJ45" s="36"/>
      <c r="AK45" s="1"/>
      <c r="AL45" s="1"/>
    </row>
    <row r="46" spans="1:38" s="2" customFormat="1" ht="17.100000000000001" customHeight="1">
      <c r="A46" s="6" t="s">
        <v>40</v>
      </c>
      <c r="B46" s="4">
        <v>1</v>
      </c>
      <c r="C46" s="4">
        <v>10</v>
      </c>
      <c r="D46" s="19">
        <v>2287</v>
      </c>
      <c r="E46" s="19">
        <v>2307</v>
      </c>
      <c r="F46" s="54">
        <f>IF(G46=0,0,IF(D46=0,1,IF(E46&lt;0,0,IF(E46/D46&gt;1.2,IF((E46/D46-1.2)*0.1+1.2&gt;1.3,1.3,(E46/D46-1.2)*0.1+1.2),E46/D46))))</f>
        <v>1.0087450808919982</v>
      </c>
      <c r="G46" s="4">
        <v>10</v>
      </c>
      <c r="H46" s="4" t="s">
        <v>68</v>
      </c>
      <c r="I46" s="4" t="s">
        <v>68</v>
      </c>
      <c r="J46" s="54" t="s">
        <v>68</v>
      </c>
      <c r="K46" s="4">
        <v>15</v>
      </c>
      <c r="L46" s="53">
        <v>7.3</v>
      </c>
      <c r="M46" s="53">
        <v>5.4</v>
      </c>
      <c r="N46" s="54">
        <f t="shared" si="2"/>
        <v>1.2151851851851851</v>
      </c>
      <c r="O46" s="4">
        <v>15</v>
      </c>
      <c r="P46" s="24">
        <f t="shared" si="3"/>
        <v>1.0947208167627931</v>
      </c>
      <c r="Q46" s="49">
        <v>62450</v>
      </c>
      <c r="R46" s="19">
        <f>ROUND(Q46/11*4,1)</f>
        <v>22709.1</v>
      </c>
      <c r="S46" s="19">
        <f t="shared" si="5"/>
        <v>24860.1</v>
      </c>
      <c r="T46" s="19">
        <f t="shared" si="11"/>
        <v>2151</v>
      </c>
      <c r="U46" s="19">
        <v>5677.3</v>
      </c>
      <c r="V46" s="19">
        <v>5677.2</v>
      </c>
      <c r="W46" s="19">
        <v>5871.3</v>
      </c>
      <c r="X46" s="19">
        <v>1419.3</v>
      </c>
      <c r="Y46" s="19">
        <f t="shared" si="7"/>
        <v>6215</v>
      </c>
      <c r="Z46" s="43"/>
      <c r="AA46" s="43"/>
      <c r="AB46" s="44"/>
      <c r="AC46" s="19">
        <f>IF(OR(Z46="+",AA46="+",AB46="+"),0,Y46)</f>
        <v>6215</v>
      </c>
      <c r="AD46" s="43">
        <f>MIN(AC46,1419.3)</f>
        <v>1419.3</v>
      </c>
      <c r="AE46" s="19">
        <f t="shared" si="9"/>
        <v>4795.7</v>
      </c>
      <c r="AF46" s="1"/>
      <c r="AG46" s="1"/>
      <c r="AH46" s="1"/>
      <c r="AI46" s="1"/>
      <c r="AJ46" s="36"/>
      <c r="AK46" s="1"/>
      <c r="AL46" s="1"/>
    </row>
    <row r="47" spans="1:38" s="22" customFormat="1" ht="17.100000000000001" customHeight="1">
      <c r="A47" s="21" t="s">
        <v>45</v>
      </c>
      <c r="B47" s="21"/>
      <c r="C47" s="21"/>
      <c r="D47" s="23">
        <f>D8+D19</f>
        <v>470151</v>
      </c>
      <c r="E47" s="23">
        <f>E8+E19</f>
        <v>510464.79999999993</v>
      </c>
      <c r="F47" s="55">
        <f>IF(E47/D47&gt;1.2,IF((E47/D47-1.2)*0.1+1.2&gt;1.3,1.3,(E47/D47-1.2)*0.1+1.2),E47/D47)</f>
        <v>1.0857464942114341</v>
      </c>
      <c r="G47" s="21"/>
      <c r="H47" s="21"/>
      <c r="I47" s="21"/>
      <c r="J47" s="21"/>
      <c r="K47" s="21"/>
      <c r="L47" s="23">
        <f>L8+L19</f>
        <v>2653.4</v>
      </c>
      <c r="M47" s="23">
        <f>M8+M19</f>
        <v>2077.8999999999996</v>
      </c>
      <c r="N47" s="55">
        <f>IF(L47/M47&gt;1.2,IF((L47/M47-1.2)*0.1+1.2&gt;1.3,1.3,(L47/M47-1.2)*0.1+1.2),L47/M47)</f>
        <v>1.2076962317724627</v>
      </c>
      <c r="O47" s="21"/>
      <c r="P47" s="60">
        <f>S47/R47</f>
        <v>1.043779109365218</v>
      </c>
      <c r="Q47" s="50">
        <f>Q8+Q19</f>
        <v>3797451</v>
      </c>
      <c r="R47" s="23">
        <f t="shared" ref="R47" si="13">R8+R19</f>
        <v>1380891.5</v>
      </c>
      <c r="S47" s="23">
        <f>S8+S19</f>
        <v>1441345.7</v>
      </c>
      <c r="T47" s="23">
        <f>T8+T19</f>
        <v>60454.199999999983</v>
      </c>
      <c r="U47" s="23">
        <f t="shared" ref="U47" si="14">U8+U19</f>
        <v>325946.49999999994</v>
      </c>
      <c r="V47" s="23">
        <f>V8+V19</f>
        <v>325946.7</v>
      </c>
      <c r="W47" s="23">
        <f>W8+W19</f>
        <v>380417.5</v>
      </c>
      <c r="X47" s="23">
        <f>X8+X19</f>
        <v>37122.400000000001</v>
      </c>
      <c r="Y47" s="23">
        <f>Y8+Y19</f>
        <v>371912.6</v>
      </c>
      <c r="Z47" s="38">
        <f>COUNTIF(Z9:Z46,"+")</f>
        <v>0</v>
      </c>
      <c r="AA47" s="38">
        <f>COUNTIF(AA9:AA46,"+")</f>
        <v>0</v>
      </c>
      <c r="AB47" s="38">
        <f>COUNTIF(AB9:AB46,"+")</f>
        <v>0</v>
      </c>
      <c r="AC47" s="23">
        <f>AC8+AC19</f>
        <v>371912.6</v>
      </c>
      <c r="AD47" s="23">
        <f>AD8+AD19</f>
        <v>33390</v>
      </c>
      <c r="AE47" s="23">
        <f>AE8+AE19</f>
        <v>338522.60000000003</v>
      </c>
      <c r="AF47" s="1"/>
      <c r="AG47" s="1"/>
      <c r="AH47" s="1"/>
      <c r="AI47" s="1"/>
      <c r="AJ47" s="1"/>
      <c r="AK47" s="1"/>
      <c r="AL47" s="1"/>
    </row>
    <row r="48" spans="1:38" ht="21" customHeight="1"/>
    <row r="49" spans="2:31" ht="17.25" customHeight="1">
      <c r="B49" s="41" t="s">
        <v>50</v>
      </c>
      <c r="C49" s="40"/>
      <c r="D49" s="62" t="s">
        <v>52</v>
      </c>
      <c r="E49" s="63"/>
      <c r="F49" s="63"/>
      <c r="G49" s="63"/>
      <c r="H49" s="63"/>
      <c r="I49" s="63"/>
      <c r="J49" s="63"/>
      <c r="K49" s="63"/>
      <c r="L49" s="63"/>
      <c r="M49" s="6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</row>
    <row r="50" spans="2:31" ht="17.25" customHeight="1">
      <c r="C50" s="42" t="s">
        <v>51</v>
      </c>
      <c r="D50" s="62" t="s">
        <v>55</v>
      </c>
      <c r="E50" s="63"/>
      <c r="F50" s="63"/>
      <c r="G50" s="63"/>
      <c r="H50" s="63"/>
      <c r="I50" s="63"/>
      <c r="J50" s="63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</row>
    <row r="52" spans="2:31" ht="15" customHeight="1"/>
  </sheetData>
  <mergeCells count="27">
    <mergeCell ref="AE3:AE6"/>
    <mergeCell ref="A3:A6"/>
    <mergeCell ref="Q3:Q6"/>
    <mergeCell ref="T3:T6"/>
    <mergeCell ref="S3:S6"/>
    <mergeCell ref="P3:P6"/>
    <mergeCell ref="R3:R6"/>
    <mergeCell ref="Z4:AA4"/>
    <mergeCell ref="AB4:AB6"/>
    <mergeCell ref="B3:C5"/>
    <mergeCell ref="D3:G5"/>
    <mergeCell ref="H3:K5"/>
    <mergeCell ref="L3:O5"/>
    <mergeCell ref="W5:W6"/>
    <mergeCell ref="U3:W4"/>
    <mergeCell ref="B1:Q1"/>
    <mergeCell ref="D50:J50"/>
    <mergeCell ref="AC3:AC6"/>
    <mergeCell ref="AD3:AD6"/>
    <mergeCell ref="Y3:Y6"/>
    <mergeCell ref="Z5:Z6"/>
    <mergeCell ref="AA5:AA6"/>
    <mergeCell ref="U5:U6"/>
    <mergeCell ref="V5:V6"/>
    <mergeCell ref="Z3:AB3"/>
    <mergeCell ref="D49:M49"/>
    <mergeCell ref="X3:X6"/>
  </mergeCells>
  <printOptions horizontalCentered="1"/>
  <pageMargins left="0.15748031496062992" right="0.15748031496062992" top="0.15748031496062992" bottom="0.15748031496062992" header="0.15748031496062992" footer="0.15748031496062992"/>
  <pageSetup paperSize="8" scale="85" fitToHeight="0" pageOrder="overThenDown" orientation="landscape" r:id="rId1"/>
  <headerFooter differentFirst="1"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O13" sqref="O13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4" width="15.285156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1" t="s">
        <v>85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ht="15.6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9" t="s">
        <v>46</v>
      </c>
    </row>
    <row r="3" spans="1:15" ht="192" customHeight="1">
      <c r="A3" s="82" t="s">
        <v>15</v>
      </c>
      <c r="B3" s="83" t="s">
        <v>41</v>
      </c>
      <c r="C3" s="85" t="s">
        <v>54</v>
      </c>
      <c r="D3" s="85"/>
      <c r="E3" s="85"/>
      <c r="F3" s="86" t="s">
        <v>69</v>
      </c>
      <c r="G3" s="87"/>
      <c r="H3" s="87"/>
      <c r="I3" s="86" t="s">
        <v>70</v>
      </c>
      <c r="J3" s="87"/>
      <c r="K3" s="87"/>
      <c r="L3" s="86" t="s">
        <v>71</v>
      </c>
      <c r="M3" s="87"/>
      <c r="N3" s="88"/>
      <c r="O3" s="84" t="s">
        <v>44</v>
      </c>
    </row>
    <row r="4" spans="1:15" ht="32.1" customHeight="1">
      <c r="A4" s="82"/>
      <c r="B4" s="83"/>
      <c r="C4" s="12" t="s">
        <v>42</v>
      </c>
      <c r="D4" s="12" t="s">
        <v>43</v>
      </c>
      <c r="E4" s="46" t="s">
        <v>56</v>
      </c>
      <c r="F4" s="12" t="s">
        <v>42</v>
      </c>
      <c r="G4" s="12" t="s">
        <v>43</v>
      </c>
      <c r="H4" s="56" t="s">
        <v>72</v>
      </c>
      <c r="I4" s="12" t="s">
        <v>42</v>
      </c>
      <c r="J4" s="12" t="s">
        <v>43</v>
      </c>
      <c r="K4" s="56" t="s">
        <v>73</v>
      </c>
      <c r="L4" s="12" t="s">
        <v>42</v>
      </c>
      <c r="M4" s="12" t="s">
        <v>43</v>
      </c>
      <c r="N4" s="56" t="s">
        <v>74</v>
      </c>
      <c r="O4" s="84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32694.399999999983</v>
      </c>
      <c r="C6" s="28"/>
      <c r="D6" s="28"/>
      <c r="E6" s="28">
        <f>SUM(E7:E16)</f>
        <v>0</v>
      </c>
      <c r="F6" s="28"/>
      <c r="G6" s="28"/>
      <c r="H6" s="28">
        <f>SUM(H7:H16)</f>
        <v>25295.426572713546</v>
      </c>
      <c r="I6" s="28"/>
      <c r="J6" s="28"/>
      <c r="K6" s="28"/>
      <c r="L6" s="28"/>
      <c r="M6" s="28"/>
      <c r="N6" s="28">
        <f>SUM(N7:N16)</f>
        <v>7398.9734272864353</v>
      </c>
      <c r="O6" s="28"/>
    </row>
    <row r="7" spans="1:15" ht="15" customHeight="1">
      <c r="A7" s="15" t="s">
        <v>5</v>
      </c>
      <c r="B7" s="29">
        <f>'Расчет дотаций'!T9</f>
        <v>16389.199999999983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33">
        <f>'Расчет дотаций'!F9-1</f>
        <v>6.5188102931811098E-2</v>
      </c>
      <c r="G7" s="33">
        <f>F7*'Расчет дотаций'!G9</f>
        <v>0.97782154397716647</v>
      </c>
      <c r="H7" s="32">
        <f>$B7*G7/O7</f>
        <v>2925.5631494915597</v>
      </c>
      <c r="I7" s="33" t="s">
        <v>68</v>
      </c>
      <c r="J7" s="33" t="s">
        <v>68</v>
      </c>
      <c r="K7" s="57" t="s">
        <v>68</v>
      </c>
      <c r="L7" s="33">
        <f>'Расчет дотаций'!N9-1</f>
        <v>0.30000000000000004</v>
      </c>
      <c r="M7" s="33">
        <f>L7*'Расчет дотаций'!O9</f>
        <v>4.5000000000000009</v>
      </c>
      <c r="N7" s="32">
        <f>$B7*M7/O7</f>
        <v>13463.636850508421</v>
      </c>
      <c r="O7" s="31">
        <f>D7+G7+M7</f>
        <v>5.4778215439771678</v>
      </c>
    </row>
    <row r="8" spans="1:15" ht="15" customHeight="1">
      <c r="A8" s="15" t="s">
        <v>6</v>
      </c>
      <c r="B8" s="29">
        <f>'Расчет дотаций'!T10</f>
        <v>-844.5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33">
        <f>'Расчет дотаций'!F10-1</f>
        <v>0.12201890528198245</v>
      </c>
      <c r="G8" s="33">
        <f>F8*'Расчет дотаций'!G10</f>
        <v>1.8302835792297367</v>
      </c>
      <c r="H8" s="32">
        <f t="shared" ref="H8:H44" si="1">$B8*G8/O8</f>
        <v>12903.516311375315</v>
      </c>
      <c r="I8" s="33" t="s">
        <v>68</v>
      </c>
      <c r="J8" s="33" t="s">
        <v>68</v>
      </c>
      <c r="K8" s="57" t="s">
        <v>68</v>
      </c>
      <c r="L8" s="33">
        <f>'Расчет дотаций'!N10-1</f>
        <v>-0.13000471031559124</v>
      </c>
      <c r="M8" s="33">
        <f>L8*'Расчет дотаций'!O10</f>
        <v>-1.9500706547338686</v>
      </c>
      <c r="N8" s="32">
        <f t="shared" ref="N8:N43" si="2">$B8*M8/O8</f>
        <v>-13748.016311375315</v>
      </c>
      <c r="O8" s="31">
        <f t="shared" ref="O8:O44" si="3">D8+G8+M8</f>
        <v>-0.11978707550413192</v>
      </c>
    </row>
    <row r="9" spans="1:15" ht="15" customHeight="1">
      <c r="A9" s="15" t="s">
        <v>7</v>
      </c>
      <c r="B9" s="29">
        <f>'Расчет дотаций'!T11</f>
        <v>-1159.6999999999971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6.7860880485592689E-2</v>
      </c>
      <c r="G9" s="33">
        <f>F9*'Расчет дотаций'!G11</f>
        <v>1.0179132072838903</v>
      </c>
      <c r="H9" s="32">
        <f t="shared" si="1"/>
        <v>2058.7166820190664</v>
      </c>
      <c r="I9" s="33" t="s">
        <v>68</v>
      </c>
      <c r="J9" s="33" t="s">
        <v>68</v>
      </c>
      <c r="K9" s="57" t="s">
        <v>68</v>
      </c>
      <c r="L9" s="33">
        <f>'Расчет дотаций'!N11-1</f>
        <v>-0.10608773500447632</v>
      </c>
      <c r="M9" s="33">
        <f>L9*'Расчет дотаций'!O11</f>
        <v>-1.5913160250671448</v>
      </c>
      <c r="N9" s="32">
        <f t="shared" si="2"/>
        <v>-3218.4166820190635</v>
      </c>
      <c r="O9" s="31">
        <f t="shared" si="3"/>
        <v>-0.57340281778325441</v>
      </c>
    </row>
    <row r="10" spans="1:15" ht="15" customHeight="1">
      <c r="A10" s="15" t="s">
        <v>8</v>
      </c>
      <c r="B10" s="29">
        <f>'Расчет дотаций'!T12</f>
        <v>872.19999999999709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3.6051715564395792E-2</v>
      </c>
      <c r="G10" s="33">
        <f>F10*'Расчет дотаций'!G12</f>
        <v>0.54077573346593688</v>
      </c>
      <c r="H10" s="32">
        <f t="shared" si="1"/>
        <v>516.21164080822382</v>
      </c>
      <c r="I10" s="33" t="s">
        <v>68</v>
      </c>
      <c r="J10" s="33" t="s">
        <v>68</v>
      </c>
      <c r="K10" s="57" t="s">
        <v>68</v>
      </c>
      <c r="L10" s="33">
        <f>'Расчет дотаций'!N12-1</f>
        <v>2.4861878453038777E-2</v>
      </c>
      <c r="M10" s="33">
        <f>L10*'Расчет дотаций'!O12</f>
        <v>0.37292817679558166</v>
      </c>
      <c r="N10" s="32">
        <f t="shared" si="2"/>
        <v>355.98835919177327</v>
      </c>
      <c r="O10" s="31">
        <f t="shared" si="3"/>
        <v>0.91370391026151854</v>
      </c>
    </row>
    <row r="11" spans="1:15" ht="15" customHeight="1">
      <c r="A11" s="15" t="s">
        <v>9</v>
      </c>
      <c r="B11" s="29">
        <f>'Расчет дотаций'!T13</f>
        <v>1191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8.7774874809492642E-2</v>
      </c>
      <c r="G11" s="33">
        <f>F11*'Расчет дотаций'!G13</f>
        <v>1.3166231221423896</v>
      </c>
      <c r="H11" s="32">
        <f t="shared" si="1"/>
        <v>1164.4669638353187</v>
      </c>
      <c r="I11" s="33" t="s">
        <v>68</v>
      </c>
      <c r="J11" s="33" t="s">
        <v>68</v>
      </c>
      <c r="K11" s="57" t="s">
        <v>68</v>
      </c>
      <c r="L11" s="33">
        <f>'Расчет дотаций'!N13-1</f>
        <v>2.0000000000000018E-3</v>
      </c>
      <c r="M11" s="33">
        <f>L11*'Расчет дотаций'!O13</f>
        <v>3.0000000000000027E-2</v>
      </c>
      <c r="N11" s="32">
        <f t="shared" si="2"/>
        <v>26.533036164681274</v>
      </c>
      <c r="O11" s="31">
        <f t="shared" si="3"/>
        <v>1.3466231221423897</v>
      </c>
    </row>
    <row r="12" spans="1:15" ht="15" customHeight="1">
      <c r="A12" s="15" t="s">
        <v>10</v>
      </c>
      <c r="B12" s="29">
        <f>'Расчет дотаций'!T14</f>
        <v>557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7.761942765933183E-2</v>
      </c>
      <c r="G12" s="33">
        <f>F12*'Расчет дотаций'!G14</f>
        <v>1.1642914148899774</v>
      </c>
      <c r="H12" s="32">
        <f t="shared" si="1"/>
        <v>541.76047594122383</v>
      </c>
      <c r="I12" s="33" t="s">
        <v>68</v>
      </c>
      <c r="J12" s="33" t="s">
        <v>68</v>
      </c>
      <c r="K12" s="57" t="s">
        <v>68</v>
      </c>
      <c r="L12" s="33">
        <f>'Расчет дотаций'!N14-1</f>
        <v>2.1834061135370675E-3</v>
      </c>
      <c r="M12" s="33">
        <f>L12*'Расчет дотаций'!O14</f>
        <v>3.2751091703056012E-2</v>
      </c>
      <c r="N12" s="32">
        <f t="shared" si="2"/>
        <v>15.239524058776114</v>
      </c>
      <c r="O12" s="31">
        <f t="shared" si="3"/>
        <v>1.1970425065930335</v>
      </c>
    </row>
    <row r="13" spans="1:15" s="106" customFormat="1" ht="15" customHeight="1">
      <c r="A13" s="100" t="s">
        <v>11</v>
      </c>
      <c r="B13" s="101">
        <f>'Расчет дотаций'!T15</f>
        <v>5439.8000000000029</v>
      </c>
      <c r="C13" s="102">
        <f>'Расчет дотаций'!B15-1</f>
        <v>0</v>
      </c>
      <c r="D13" s="102">
        <f>C13*'Расчет дотаций'!C15</f>
        <v>0</v>
      </c>
      <c r="E13" s="103">
        <f t="shared" si="0"/>
        <v>0</v>
      </c>
      <c r="F13" s="102">
        <f>'Расчет дотаций'!F15-1</f>
        <v>0.20239006725297459</v>
      </c>
      <c r="G13" s="102">
        <f>F13*'Расчет дотаций'!G15</f>
        <v>3.0358510087946189</v>
      </c>
      <c r="H13" s="103">
        <f t="shared" si="1"/>
        <v>2345.075265361671</v>
      </c>
      <c r="I13" s="102" t="s">
        <v>68</v>
      </c>
      <c r="J13" s="102" t="s">
        <v>68</v>
      </c>
      <c r="K13" s="104" t="s">
        <v>68</v>
      </c>
      <c r="L13" s="102">
        <f>'Расчет дотаций'!N15-1</f>
        <v>0.26708803611738152</v>
      </c>
      <c r="M13" s="102">
        <f>L13*'Расчет дотаций'!O15</f>
        <v>4.0063205417607231</v>
      </c>
      <c r="N13" s="103">
        <f t="shared" si="2"/>
        <v>3094.7247346383324</v>
      </c>
      <c r="O13" s="105">
        <f t="shared" si="3"/>
        <v>7.0421715505553415</v>
      </c>
    </row>
    <row r="14" spans="1:15" ht="15" customHeight="1">
      <c r="A14" s="15" t="s">
        <v>12</v>
      </c>
      <c r="B14" s="29">
        <f>'Расчет дотаций'!T16</f>
        <v>4028.0999999999985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0.11968858131487892</v>
      </c>
      <c r="G14" s="33">
        <f>F14*'Расчет дотаций'!G16</f>
        <v>1.7953287197231838</v>
      </c>
      <c r="H14" s="32">
        <f t="shared" si="1"/>
        <v>1488.2376255114546</v>
      </c>
      <c r="I14" s="33" t="s">
        <v>68</v>
      </c>
      <c r="J14" s="33" t="s">
        <v>68</v>
      </c>
      <c r="K14" s="57" t="s">
        <v>68</v>
      </c>
      <c r="L14" s="33">
        <f>'Расчет дотаций'!N16-1</f>
        <v>0.20426343154246096</v>
      </c>
      <c r="M14" s="33">
        <f>L14*'Расчет дотаций'!O16</f>
        <v>3.0639514731369144</v>
      </c>
      <c r="N14" s="32">
        <f t="shared" si="2"/>
        <v>2539.8623744885444</v>
      </c>
      <c r="O14" s="31">
        <f t="shared" si="3"/>
        <v>4.8592801928600977</v>
      </c>
    </row>
    <row r="15" spans="1:15" ht="15" customHeight="1">
      <c r="A15" s="15" t="s">
        <v>13</v>
      </c>
      <c r="B15" s="29">
        <f>'Расчет дотаций'!T17</f>
        <v>4071.5999999999985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9.5858418102553467E-2</v>
      </c>
      <c r="G15" s="33">
        <f>F15*'Расчет дотаций'!G17</f>
        <v>1.437876271538302</v>
      </c>
      <c r="H15" s="32">
        <f t="shared" si="1"/>
        <v>1136.5076995490274</v>
      </c>
      <c r="I15" s="33" t="s">
        <v>68</v>
      </c>
      <c r="J15" s="33" t="s">
        <v>68</v>
      </c>
      <c r="K15" s="57" t="s">
        <v>68</v>
      </c>
      <c r="L15" s="33">
        <f>'Расчет дотаций'!N17-1</f>
        <v>0.24755952380952384</v>
      </c>
      <c r="M15" s="33">
        <f>L15*'Расчет дотаций'!O17</f>
        <v>3.7133928571428578</v>
      </c>
      <c r="N15" s="32">
        <f t="shared" si="2"/>
        <v>2935.0923004509709</v>
      </c>
      <c r="O15" s="31">
        <f t="shared" si="3"/>
        <v>5.15126912868116</v>
      </c>
    </row>
    <row r="16" spans="1:15" ht="15" customHeight="1">
      <c r="A16" s="15" t="s">
        <v>14</v>
      </c>
      <c r="B16" s="29">
        <f>'Расчет дотаций'!T18</f>
        <v>2149.7000000000007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3.3402394106814004E-2</v>
      </c>
      <c r="G16" s="33">
        <f>F16*'Расчет дотаций'!G18</f>
        <v>0.50103591160221006</v>
      </c>
      <c r="H16" s="32">
        <f t="shared" si="1"/>
        <v>215.37075882068643</v>
      </c>
      <c r="I16" s="33" t="s">
        <v>68</v>
      </c>
      <c r="J16" s="33" t="s">
        <v>68</v>
      </c>
      <c r="K16" s="57" t="s">
        <v>68</v>
      </c>
      <c r="L16" s="33">
        <f>'Расчет дотаций'!N18-1</f>
        <v>0.30000000000000004</v>
      </c>
      <c r="M16" s="33">
        <f>L16*'Расчет дотаций'!O18</f>
        <v>4.5000000000000009</v>
      </c>
      <c r="N16" s="32">
        <f t="shared" si="2"/>
        <v>1934.3292411793145</v>
      </c>
      <c r="O16" s="31">
        <f t="shared" si="3"/>
        <v>5.0010359116022105</v>
      </c>
    </row>
    <row r="17" spans="1:15" ht="15" customHeight="1">
      <c r="A17" s="16" t="s">
        <v>17</v>
      </c>
      <c r="B17" s="28">
        <f>SUM(B18:B44)</f>
        <v>27759.799999999996</v>
      </c>
      <c r="C17" s="28"/>
      <c r="D17" s="28"/>
      <c r="E17" s="28">
        <f>SUM(E18:E44)</f>
        <v>0</v>
      </c>
      <c r="F17" s="28"/>
      <c r="G17" s="28"/>
      <c r="H17" s="28">
        <f>SUM(H18:H44)</f>
        <v>13495.706278952115</v>
      </c>
      <c r="I17" s="28"/>
      <c r="J17" s="28"/>
      <c r="K17" s="28"/>
      <c r="L17" s="28"/>
      <c r="M17" s="28"/>
      <c r="N17" s="28">
        <f>SUM(N18:N44)</f>
        <v>14264.093721047881</v>
      </c>
      <c r="O17" s="28"/>
    </row>
    <row r="18" spans="1:15" ht="15" customHeight="1">
      <c r="A18" s="17" t="s">
        <v>0</v>
      </c>
      <c r="B18" s="29">
        <f>'Расчет дотаций'!T20</f>
        <v>-249.20000000000073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33">
        <f>'Расчет дотаций'!F20-1</f>
        <v>0.16508474576271182</v>
      </c>
      <c r="G18" s="33">
        <f>F18*'Расчет дотаций'!G20</f>
        <v>1.6508474576271182</v>
      </c>
      <c r="H18" s="32">
        <f t="shared" si="1"/>
        <v>670.77914276775653</v>
      </c>
      <c r="I18" s="33" t="s">
        <v>68</v>
      </c>
      <c r="J18" s="33" t="s">
        <v>68</v>
      </c>
      <c r="K18" s="57" t="s">
        <v>68</v>
      </c>
      <c r="L18" s="33">
        <f>'Расчет дотаций'!N20-1</f>
        <v>-0.15094339622641506</v>
      </c>
      <c r="M18" s="33">
        <f>L18*'Расчет дотаций'!O20</f>
        <v>-2.2641509433962259</v>
      </c>
      <c r="N18" s="32">
        <f t="shared" si="2"/>
        <v>-919.97914276775725</v>
      </c>
      <c r="O18" s="31">
        <f t="shared" si="3"/>
        <v>-0.61330348576910776</v>
      </c>
    </row>
    <row r="19" spans="1:15" ht="15" customHeight="1">
      <c r="A19" s="17" t="s">
        <v>18</v>
      </c>
      <c r="B19" s="29">
        <f>'Расчет дотаций'!T21</f>
        <v>3620.2999999999993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33">
        <f>'Расчет дотаций'!F21-1</f>
        <v>5.8094098883572531E-2</v>
      </c>
      <c r="G19" s="33">
        <f>F19*'Расчет дотаций'!G21</f>
        <v>0.58094098883572531</v>
      </c>
      <c r="H19" s="32">
        <f t="shared" si="1"/>
        <v>413.93526642077967</v>
      </c>
      <c r="I19" s="33" t="s">
        <v>68</v>
      </c>
      <c r="J19" s="33" t="s">
        <v>68</v>
      </c>
      <c r="K19" s="57" t="s">
        <v>68</v>
      </c>
      <c r="L19" s="33">
        <f>'Расчет дотаций'!N21-1</f>
        <v>0.30000000000000004</v>
      </c>
      <c r="M19" s="33">
        <f>L19*'Расчет дотаций'!O21</f>
        <v>4.5000000000000009</v>
      </c>
      <c r="N19" s="32">
        <f t="shared" si="2"/>
        <v>3206.3647335792198</v>
      </c>
      <c r="O19" s="31">
        <f t="shared" si="3"/>
        <v>5.0809409888357262</v>
      </c>
    </row>
    <row r="20" spans="1:15" ht="15" customHeight="1">
      <c r="A20" s="17" t="s">
        <v>19</v>
      </c>
      <c r="B20" s="29">
        <f>'Расчет дотаций'!T22</f>
        <v>1904.8999999999978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33">
        <f>'Расчет дотаций'!F22-1</f>
        <v>9.5855312735493525E-2</v>
      </c>
      <c r="G20" s="33">
        <f>F20*'Расчет дотаций'!G22</f>
        <v>0.95855312735493525</v>
      </c>
      <c r="H20" s="32">
        <f t="shared" si="1"/>
        <v>450.48537510421113</v>
      </c>
      <c r="I20" s="33" t="s">
        <v>68</v>
      </c>
      <c r="J20" s="33" t="s">
        <v>68</v>
      </c>
      <c r="K20" s="57" t="s">
        <v>68</v>
      </c>
      <c r="L20" s="33">
        <f>'Расчет дотаций'!N22-1</f>
        <v>0.20631578947368423</v>
      </c>
      <c r="M20" s="33">
        <f>L20*'Расчет дотаций'!O22</f>
        <v>3.0947368421052635</v>
      </c>
      <c r="N20" s="32">
        <f t="shared" si="2"/>
        <v>1454.4146248957868</v>
      </c>
      <c r="O20" s="31">
        <f t="shared" si="3"/>
        <v>4.0532899694601987</v>
      </c>
    </row>
    <row r="21" spans="1:15" ht="15" customHeight="1">
      <c r="A21" s="17" t="s">
        <v>20</v>
      </c>
      <c r="B21" s="29">
        <f>'Расчет дотаций'!T23</f>
        <v>2702.5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33">
        <f>'Расчет дотаций'!F23-1</f>
        <v>0.14916241806263653</v>
      </c>
      <c r="G21" s="33">
        <f>F21*'Расчет дотаций'!G23</f>
        <v>1.4916241806263653</v>
      </c>
      <c r="H21" s="32">
        <f t="shared" si="1"/>
        <v>785.10643902933259</v>
      </c>
      <c r="I21" s="33" t="s">
        <v>68</v>
      </c>
      <c r="J21" s="33" t="s">
        <v>68</v>
      </c>
      <c r="K21" s="57" t="s">
        <v>68</v>
      </c>
      <c r="L21" s="33">
        <f>'Расчет дотаций'!N23-1</f>
        <v>0.24285714285714288</v>
      </c>
      <c r="M21" s="33">
        <f>L21*'Расчет дотаций'!O23</f>
        <v>3.6428571428571432</v>
      </c>
      <c r="N21" s="32">
        <f t="shared" si="2"/>
        <v>1917.3935609706673</v>
      </c>
      <c r="O21" s="31">
        <f t="shared" si="3"/>
        <v>5.1344813234835085</v>
      </c>
    </row>
    <row r="22" spans="1:15" ht="15" customHeight="1">
      <c r="A22" s="17" t="s">
        <v>21</v>
      </c>
      <c r="B22" s="29">
        <f>'Расчет дотаций'!T24</f>
        <v>97.899999999997817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33">
        <f>'Расчет дотаций'!F24-1</f>
        <v>1.6967509025270777E-2</v>
      </c>
      <c r="G22" s="33">
        <f>F22*'Расчет дотаций'!G24</f>
        <v>0.16967509025270777</v>
      </c>
      <c r="H22" s="32">
        <f t="shared" si="1"/>
        <v>97.899999999997831</v>
      </c>
      <c r="I22" s="33" t="s">
        <v>68</v>
      </c>
      <c r="J22" s="33" t="s">
        <v>68</v>
      </c>
      <c r="K22" s="57" t="s">
        <v>68</v>
      </c>
      <c r="L22" s="33">
        <f>'Расчет дотаций'!N24-1</f>
        <v>0</v>
      </c>
      <c r="M22" s="33">
        <f>L22*'Расчет дотаций'!O24</f>
        <v>0</v>
      </c>
      <c r="N22" s="32">
        <f t="shared" si="2"/>
        <v>0</v>
      </c>
      <c r="O22" s="31">
        <f t="shared" si="3"/>
        <v>0.16967509025270777</v>
      </c>
    </row>
    <row r="23" spans="1:15" ht="15" customHeight="1">
      <c r="A23" s="17" t="s">
        <v>22</v>
      </c>
      <c r="B23" s="29">
        <f>'Расчет дотаций'!T25</f>
        <v>3623.7000000000007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33">
        <f>'Расчет дотаций'!F25-1</f>
        <v>0.10751295336787559</v>
      </c>
      <c r="G23" s="33">
        <f>F23*'Расчет дотаций'!G25</f>
        <v>1.0751295336787559</v>
      </c>
      <c r="H23" s="32">
        <f t="shared" si="1"/>
        <v>698.80831784386589</v>
      </c>
      <c r="I23" s="33" t="s">
        <v>68</v>
      </c>
      <c r="J23" s="33" t="s">
        <v>68</v>
      </c>
      <c r="K23" s="57" t="s">
        <v>68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2"/>
        <v>2924.8916821561347</v>
      </c>
      <c r="O23" s="31">
        <f t="shared" si="3"/>
        <v>5.5751295336787567</v>
      </c>
    </row>
    <row r="24" spans="1:15" ht="15" customHeight="1">
      <c r="A24" s="17" t="s">
        <v>23</v>
      </c>
      <c r="B24" s="29">
        <f>'Расчет дотаций'!T26</f>
        <v>3340.3000000000029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33">
        <f>'Расчет дотаций'!F26-1</f>
        <v>0.12385862661585589</v>
      </c>
      <c r="G24" s="33">
        <f>F24*'Расчет дотаций'!G26</f>
        <v>1.2385862661585589</v>
      </c>
      <c r="H24" s="32">
        <f t="shared" si="1"/>
        <v>1897.1812964870767</v>
      </c>
      <c r="I24" s="33" t="s">
        <v>68</v>
      </c>
      <c r="J24" s="33" t="s">
        <v>68</v>
      </c>
      <c r="K24" s="57" t="s">
        <v>68</v>
      </c>
      <c r="L24" s="33">
        <f>'Расчет дотаций'!N26-1</f>
        <v>6.280991735537178E-2</v>
      </c>
      <c r="M24" s="33">
        <f>L24*'Расчет дотаций'!O26</f>
        <v>0.94214876033057671</v>
      </c>
      <c r="N24" s="32">
        <f t="shared" si="2"/>
        <v>1443.1187035129262</v>
      </c>
      <c r="O24" s="31">
        <f t="shared" si="3"/>
        <v>2.1807350264891356</v>
      </c>
    </row>
    <row r="25" spans="1:15" ht="15" customHeight="1">
      <c r="A25" s="17" t="s">
        <v>24</v>
      </c>
      <c r="B25" s="29">
        <f>'Расчет дотаций'!T27</f>
        <v>756.20000000000073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33">
        <f>'Расчет дотаций'!F27-1</f>
        <v>0.20845454545454545</v>
      </c>
      <c r="G25" s="33">
        <f>F25*'Расчет дотаций'!G27</f>
        <v>2.0845454545454545</v>
      </c>
      <c r="H25" s="32">
        <f t="shared" si="1"/>
        <v>605.8656505656835</v>
      </c>
      <c r="I25" s="33" t="s">
        <v>68</v>
      </c>
      <c r="J25" s="33" t="s">
        <v>68</v>
      </c>
      <c r="K25" s="57" t="s">
        <v>68</v>
      </c>
      <c r="L25" s="33">
        <f>'Расчет дотаций'!N27-1</f>
        <v>3.4482758620689724E-2</v>
      </c>
      <c r="M25" s="33">
        <f>L25*'Расчет дотаций'!O27</f>
        <v>0.51724137931034586</v>
      </c>
      <c r="N25" s="32">
        <f t="shared" si="2"/>
        <v>150.33434943431732</v>
      </c>
      <c r="O25" s="31">
        <f t="shared" si="3"/>
        <v>2.6017868338558001</v>
      </c>
    </row>
    <row r="26" spans="1:15" ht="15" customHeight="1">
      <c r="A26" s="17" t="s">
        <v>25</v>
      </c>
      <c r="B26" s="29">
        <f>'Расчет дотаций'!T28</f>
        <v>-2868.1000000000022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33">
        <f>'Расчет дотаций'!F28-1</f>
        <v>7.3662551440329294E-2</v>
      </c>
      <c r="G26" s="33">
        <f>F26*'Расчет дотаций'!G28</f>
        <v>0.73662551440329294</v>
      </c>
      <c r="H26" s="32">
        <f t="shared" si="1"/>
        <v>418.12371297526778</v>
      </c>
      <c r="I26" s="33" t="s">
        <v>68</v>
      </c>
      <c r="J26" s="33" t="s">
        <v>68</v>
      </c>
      <c r="K26" s="57" t="s">
        <v>68</v>
      </c>
      <c r="L26" s="33">
        <f>'Расчет дотаций'!N28-1</f>
        <v>-0.38596491228070173</v>
      </c>
      <c r="M26" s="33">
        <f>L26*'Расчет дотаций'!O28</f>
        <v>-5.7894736842105257</v>
      </c>
      <c r="N26" s="32">
        <f t="shared" si="2"/>
        <v>-3286.2237129752702</v>
      </c>
      <c r="O26" s="31">
        <f t="shared" si="3"/>
        <v>-5.0528481698072323</v>
      </c>
    </row>
    <row r="27" spans="1:15" ht="15" customHeight="1">
      <c r="A27" s="17" t="s">
        <v>26</v>
      </c>
      <c r="B27" s="29">
        <f>'Расчет дотаций'!T29</f>
        <v>1056.5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33">
        <f>'Расчет дотаций'!F29-1</f>
        <v>-2.0088626292466771E-2</v>
      </c>
      <c r="G27" s="33">
        <f>F27*'Расчет дотаций'!G29</f>
        <v>-0.20088626292466771</v>
      </c>
      <c r="H27" s="32">
        <f t="shared" si="1"/>
        <v>-68.91329606760435</v>
      </c>
      <c r="I27" s="33" t="s">
        <v>68</v>
      </c>
      <c r="J27" s="33" t="s">
        <v>68</v>
      </c>
      <c r="K27" s="57" t="s">
        <v>68</v>
      </c>
      <c r="L27" s="33">
        <f>'Расчет дотаций'!N29-1</f>
        <v>0.21870967741935488</v>
      </c>
      <c r="M27" s="33">
        <f>L27*'Расчет дотаций'!O29</f>
        <v>3.2806451612903231</v>
      </c>
      <c r="N27" s="32">
        <f t="shared" si="2"/>
        <v>1125.4132960676043</v>
      </c>
      <c r="O27" s="31">
        <f t="shared" si="3"/>
        <v>3.0797588983656556</v>
      </c>
    </row>
    <row r="28" spans="1:15" ht="15" customHeight="1">
      <c r="A28" s="17" t="s">
        <v>27</v>
      </c>
      <c r="B28" s="29">
        <f>'Расчет дотаций'!T30</f>
        <v>992.70000000000073</v>
      </c>
      <c r="C28" s="33">
        <f>'Расчет дотаций'!B30-1</f>
        <v>0</v>
      </c>
      <c r="D28" s="33">
        <f>C28*'Расчет дотаций'!C30</f>
        <v>0</v>
      </c>
      <c r="E28" s="32">
        <f t="shared" si="0"/>
        <v>0</v>
      </c>
      <c r="F28" s="33">
        <f>'Расчет дотаций'!F30-1</f>
        <v>0.21046666666666658</v>
      </c>
      <c r="G28" s="33">
        <f>F28*'Расчет дотаций'!G30</f>
        <v>2.1046666666666658</v>
      </c>
      <c r="H28" s="32">
        <f t="shared" si="1"/>
        <v>992.70000000000084</v>
      </c>
      <c r="I28" s="33" t="s">
        <v>68</v>
      </c>
      <c r="J28" s="33" t="s">
        <v>68</v>
      </c>
      <c r="K28" s="57" t="s">
        <v>68</v>
      </c>
      <c r="L28" s="33">
        <f>'Расчет дотаций'!N30-1</f>
        <v>0</v>
      </c>
      <c r="M28" s="33">
        <f>L28*'Расчет дотаций'!O30</f>
        <v>0</v>
      </c>
      <c r="N28" s="32">
        <f t="shared" si="2"/>
        <v>0</v>
      </c>
      <c r="O28" s="31">
        <f t="shared" si="3"/>
        <v>2.1046666666666658</v>
      </c>
    </row>
    <row r="29" spans="1:15" ht="15" customHeight="1">
      <c r="A29" s="17" t="s">
        <v>28</v>
      </c>
      <c r="B29" s="29">
        <f>'Расчет дотаций'!T31</f>
        <v>558.5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33">
        <f>'Расчет дотаций'!F31-1</f>
        <v>5.9400201612903158E-2</v>
      </c>
      <c r="G29" s="33">
        <f>F29*'Расчет дотаций'!G31</f>
        <v>0.59400201612903158</v>
      </c>
      <c r="H29" s="32">
        <f t="shared" si="1"/>
        <v>558.5</v>
      </c>
      <c r="I29" s="33" t="s">
        <v>68</v>
      </c>
      <c r="J29" s="33" t="s">
        <v>68</v>
      </c>
      <c r="K29" s="57" t="s">
        <v>68</v>
      </c>
      <c r="L29" s="33">
        <f>'Расчет дотаций'!N31-1</f>
        <v>0</v>
      </c>
      <c r="M29" s="33">
        <f>L29*'Расчет дотаций'!O31</f>
        <v>0</v>
      </c>
      <c r="N29" s="32">
        <f t="shared" si="2"/>
        <v>0</v>
      </c>
      <c r="O29" s="31">
        <f t="shared" si="3"/>
        <v>0.59400201612903158</v>
      </c>
    </row>
    <row r="30" spans="1:15" ht="15" customHeight="1">
      <c r="A30" s="17" t="s">
        <v>29</v>
      </c>
      <c r="B30" s="29">
        <f>'Расчет дотаций'!T32</f>
        <v>-212.20000000000073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33">
        <f>'Расчет дотаций'!F32-1</f>
        <v>-5.0306748466257711E-2</v>
      </c>
      <c r="G30" s="33">
        <f>F30*'Расчет дотаций'!G32</f>
        <v>-0.50306748466257711</v>
      </c>
      <c r="H30" s="32">
        <f t="shared" si="1"/>
        <v>-212.20000000000073</v>
      </c>
      <c r="I30" s="33" t="s">
        <v>68</v>
      </c>
      <c r="J30" s="33" t="s">
        <v>68</v>
      </c>
      <c r="K30" s="57" t="s">
        <v>68</v>
      </c>
      <c r="L30" s="33">
        <f>'Расчет дотаций'!N32-1</f>
        <v>0</v>
      </c>
      <c r="M30" s="33">
        <f>L30*'Расчет дотаций'!O32</f>
        <v>0</v>
      </c>
      <c r="N30" s="32">
        <f t="shared" si="2"/>
        <v>0</v>
      </c>
      <c r="O30" s="31">
        <f t="shared" si="3"/>
        <v>-0.50306748466257711</v>
      </c>
    </row>
    <row r="31" spans="1:15" ht="15" customHeight="1">
      <c r="A31" s="17" t="s">
        <v>30</v>
      </c>
      <c r="B31" s="29">
        <f>'Расчет дотаций'!T33</f>
        <v>2782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33">
        <f>'Расчет дотаций'!F33-1</f>
        <v>-4.1254125412540921E-3</v>
      </c>
      <c r="G31" s="33">
        <f>F31*'Расчет дотаций'!G33</f>
        <v>-4.1254125412540921E-2</v>
      </c>
      <c r="H31" s="32">
        <f t="shared" si="1"/>
        <v>-25.740192450036798</v>
      </c>
      <c r="I31" s="33" t="s">
        <v>68</v>
      </c>
      <c r="J31" s="33" t="s">
        <v>68</v>
      </c>
      <c r="K31" s="57" t="s">
        <v>68</v>
      </c>
      <c r="L31" s="33">
        <f>'Расчет дотаций'!N33-1</f>
        <v>0.30000000000000004</v>
      </c>
      <c r="M31" s="33">
        <f>L31*'Расчет дотаций'!O33</f>
        <v>4.5000000000000009</v>
      </c>
      <c r="N31" s="32">
        <f t="shared" si="2"/>
        <v>2807.7401924500368</v>
      </c>
      <c r="O31" s="31">
        <f t="shared" si="3"/>
        <v>4.4587458745874597</v>
      </c>
    </row>
    <row r="32" spans="1:15" ht="15" customHeight="1">
      <c r="A32" s="17" t="s">
        <v>31</v>
      </c>
      <c r="B32" s="29">
        <f>'Расчет дотаций'!T34</f>
        <v>-129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33">
        <f>'Расчет дотаций'!F34-1</f>
        <v>1.5083333333333337E-2</v>
      </c>
      <c r="G32" s="33">
        <f>F32*'Расчет дотаций'!G34</f>
        <v>0.15083333333333337</v>
      </c>
      <c r="H32" s="32">
        <f t="shared" si="1"/>
        <v>96.520368583031683</v>
      </c>
      <c r="I32" s="33" t="s">
        <v>68</v>
      </c>
      <c r="J32" s="33" t="s">
        <v>68</v>
      </c>
      <c r="K32" s="57" t="s">
        <v>68</v>
      </c>
      <c r="L32" s="33">
        <f>'Расчет дотаций'!N34-1</f>
        <v>-2.3494860499265746E-2</v>
      </c>
      <c r="M32" s="33">
        <f>L32*'Расчет дотаций'!O34</f>
        <v>-0.35242290748898619</v>
      </c>
      <c r="N32" s="32">
        <f t="shared" si="2"/>
        <v>-225.52036858303168</v>
      </c>
      <c r="O32" s="31">
        <f t="shared" si="3"/>
        <v>-0.20158957415565282</v>
      </c>
    </row>
    <row r="33" spans="1:16" ht="15" customHeight="1">
      <c r="A33" s="17" t="s">
        <v>1</v>
      </c>
      <c r="B33" s="29">
        <f>'Расчет дотаций'!T35</f>
        <v>2655.5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33">
        <f>'Расчет дотаций'!F35-1</f>
        <v>-3.2579397632719997E-2</v>
      </c>
      <c r="G33" s="33">
        <f>F33*'Расчет дотаций'!G35</f>
        <v>-0.32579397632719997</v>
      </c>
      <c r="H33" s="32">
        <f t="shared" si="1"/>
        <v>-307.17339630981189</v>
      </c>
      <c r="I33" s="33" t="s">
        <v>68</v>
      </c>
      <c r="J33" s="33" t="s">
        <v>68</v>
      </c>
      <c r="K33" s="57" t="s">
        <v>68</v>
      </c>
      <c r="L33" s="33">
        <f>'Расчет дотаций'!N35-1</f>
        <v>0.20948453608247419</v>
      </c>
      <c r="M33" s="33">
        <f>L33*'Расчет дотаций'!O35</f>
        <v>3.1422680412371129</v>
      </c>
      <c r="N33" s="32">
        <f t="shared" si="2"/>
        <v>2962.6733963098122</v>
      </c>
      <c r="O33" s="31">
        <f t="shared" si="3"/>
        <v>2.8164740649099129</v>
      </c>
    </row>
    <row r="34" spans="1:16" ht="15" customHeight="1">
      <c r="A34" s="17" t="s">
        <v>32</v>
      </c>
      <c r="B34" s="29">
        <f>'Расчет дотаций'!T36</f>
        <v>213.5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33">
        <f>'Расчет дотаций'!F36-1</f>
        <v>0.19897600936220017</v>
      </c>
      <c r="G34" s="33">
        <f>F34*'Расчет дотаций'!G36</f>
        <v>1.9897600936220017</v>
      </c>
      <c r="H34" s="32">
        <f t="shared" si="1"/>
        <v>1298.0424864291926</v>
      </c>
      <c r="I34" s="33" t="s">
        <v>68</v>
      </c>
      <c r="J34" s="33" t="s">
        <v>68</v>
      </c>
      <c r="K34" s="57" t="s">
        <v>68</v>
      </c>
      <c r="L34" s="33">
        <f>'Расчет дотаций'!N36-1</f>
        <v>-0.11083249749247737</v>
      </c>
      <c r="M34" s="33">
        <f>L34*'Расчет дотаций'!O36</f>
        <v>-1.6624874623871606</v>
      </c>
      <c r="N34" s="32">
        <f t="shared" si="2"/>
        <v>-1084.5424864291926</v>
      </c>
      <c r="O34" s="31">
        <f t="shared" si="3"/>
        <v>0.32727263123484107</v>
      </c>
    </row>
    <row r="35" spans="1:16" ht="15" customHeight="1">
      <c r="A35" s="17" t="s">
        <v>33</v>
      </c>
      <c r="B35" s="29">
        <f>'Расчет дотаций'!T37</f>
        <v>-2796.7000000000007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33">
        <f>'Расчет дотаций'!F37-1</f>
        <v>4.7118023787740215E-2</v>
      </c>
      <c r="G35" s="33">
        <f>F35*'Расчет дотаций'!G37</f>
        <v>0.47118023787740215</v>
      </c>
      <c r="H35" s="32">
        <f t="shared" si="1"/>
        <v>181.00918777528923</v>
      </c>
      <c r="I35" s="33" t="s">
        <v>68</v>
      </c>
      <c r="J35" s="33" t="s">
        <v>68</v>
      </c>
      <c r="K35" s="57" t="s">
        <v>68</v>
      </c>
      <c r="L35" s="33">
        <f>'Расчет дотаций'!N37-1</f>
        <v>-0.51674641148325362</v>
      </c>
      <c r="M35" s="33">
        <f>L35*'Расчет дотаций'!O37</f>
        <v>-7.7511961722488039</v>
      </c>
      <c r="N35" s="32">
        <f t="shared" si="2"/>
        <v>-2977.7091877752896</v>
      </c>
      <c r="O35" s="31">
        <f t="shared" si="3"/>
        <v>-7.2800159343714022</v>
      </c>
    </row>
    <row r="36" spans="1:16" ht="15" customHeight="1">
      <c r="A36" s="17" t="s">
        <v>34</v>
      </c>
      <c r="B36" s="29">
        <f>'Расчет дотаций'!T38</f>
        <v>165.70000000000073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33">
        <f>'Расчет дотаций'!F38-1</f>
        <v>1.8809005083515018E-2</v>
      </c>
      <c r="G36" s="33">
        <f>F36*'Расчет дотаций'!G38</f>
        <v>0.18809005083515018</v>
      </c>
      <c r="H36" s="32">
        <f t="shared" si="1"/>
        <v>165.70000000000073</v>
      </c>
      <c r="I36" s="33" t="s">
        <v>68</v>
      </c>
      <c r="J36" s="33" t="s">
        <v>68</v>
      </c>
      <c r="K36" s="57" t="s">
        <v>68</v>
      </c>
      <c r="L36" s="33">
        <f>'Расчет дотаций'!N38-1</f>
        <v>0</v>
      </c>
      <c r="M36" s="33">
        <f>L36*'Расчет дотаций'!O38</f>
        <v>0</v>
      </c>
      <c r="N36" s="32">
        <f t="shared" si="2"/>
        <v>0</v>
      </c>
      <c r="O36" s="31">
        <f t="shared" si="3"/>
        <v>0.18809005083515018</v>
      </c>
    </row>
    <row r="37" spans="1:16" ht="15" customHeight="1">
      <c r="A37" s="17" t="s">
        <v>35</v>
      </c>
      <c r="B37" s="29">
        <f>'Расчет дотаций'!T39</f>
        <v>-2044.5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33">
        <f>'Расчет дотаций'!F39-1</f>
        <v>9.2935839274141285E-2</v>
      </c>
      <c r="G37" s="33">
        <f>F37*'Расчет дотаций'!G39</f>
        <v>0.92935839274141285</v>
      </c>
      <c r="H37" s="32">
        <f t="shared" si="1"/>
        <v>635.18207286290351</v>
      </c>
      <c r="I37" s="33" t="s">
        <v>68</v>
      </c>
      <c r="J37" s="33" t="s">
        <v>68</v>
      </c>
      <c r="K37" s="57" t="s">
        <v>68</v>
      </c>
      <c r="L37" s="33">
        <f>'Расчет дотаций'!N39-1</f>
        <v>-0.26138279932546371</v>
      </c>
      <c r="M37" s="33">
        <f>L37*'Расчет дотаций'!O39</f>
        <v>-3.9207419898819555</v>
      </c>
      <c r="N37" s="32">
        <f t="shared" si="2"/>
        <v>-2679.6820728629036</v>
      </c>
      <c r="O37" s="31">
        <f t="shared" si="3"/>
        <v>-2.9913835971405427</v>
      </c>
    </row>
    <row r="38" spans="1:16" ht="15" customHeight="1">
      <c r="A38" s="17" t="s">
        <v>36</v>
      </c>
      <c r="B38" s="29">
        <f>'Расчет дотаций'!T40</f>
        <v>1682.0999999999985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33">
        <f>'Расчет дотаций'!F40-1</f>
        <v>0.13495503804473152</v>
      </c>
      <c r="G38" s="33">
        <f>F38*'Расчет дотаций'!G40</f>
        <v>1.3495503804473152</v>
      </c>
      <c r="H38" s="32">
        <f t="shared" si="1"/>
        <v>1166.315642975786</v>
      </c>
      <c r="I38" s="33" t="s">
        <v>68</v>
      </c>
      <c r="J38" s="33" t="s">
        <v>68</v>
      </c>
      <c r="K38" s="57" t="s">
        <v>68</v>
      </c>
      <c r="L38" s="33">
        <f>'Расчет дотаций'!N40-1</f>
        <v>3.9787798408488007E-2</v>
      </c>
      <c r="M38" s="33">
        <f>L38*'Расчет дотаций'!O40</f>
        <v>0.5968169761273201</v>
      </c>
      <c r="N38" s="32">
        <f t="shared" si="2"/>
        <v>515.78435702421245</v>
      </c>
      <c r="O38" s="31">
        <f t="shared" si="3"/>
        <v>1.9463673565746353</v>
      </c>
    </row>
    <row r="39" spans="1:16" ht="15" customHeight="1">
      <c r="A39" s="17" t="s">
        <v>37</v>
      </c>
      <c r="B39" s="29">
        <f>'Расчет дотаций'!T41</f>
        <v>-430.19999999999709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33">
        <f>'Расчет дотаций'!F41-1</f>
        <v>0.21165971107544146</v>
      </c>
      <c r="G39" s="33">
        <f>F39*'Расчет дотаций'!G41</f>
        <v>2.1165971107544146</v>
      </c>
      <c r="H39" s="32">
        <f t="shared" si="1"/>
        <v>2222.4031374230813</v>
      </c>
      <c r="I39" s="33" t="s">
        <v>68</v>
      </c>
      <c r="J39" s="33" t="s">
        <v>68</v>
      </c>
      <c r="K39" s="57" t="s">
        <v>68</v>
      </c>
      <c r="L39" s="33">
        <f>'Расчет дотаций'!N41-1</f>
        <v>-0.16842105263157892</v>
      </c>
      <c r="M39" s="33">
        <f>L39*'Расчет дотаций'!O41</f>
        <v>-2.5263157894736836</v>
      </c>
      <c r="N39" s="32">
        <f t="shared" si="2"/>
        <v>-2652.6031374230784</v>
      </c>
      <c r="O39" s="31">
        <f t="shared" si="3"/>
        <v>-0.40971867871926904</v>
      </c>
    </row>
    <row r="40" spans="1:16" ht="15" customHeight="1">
      <c r="A40" s="17" t="s">
        <v>38</v>
      </c>
      <c r="B40" s="29">
        <f>'Расчет дотаций'!T42</f>
        <v>1524.5999999999985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33">
        <f>'Расчет дотаций'!F42-1</f>
        <v>-3.6930860033726809E-2</v>
      </c>
      <c r="G40" s="33">
        <f>F40*'Расчет дотаций'!G42</f>
        <v>-0.36930860033726809</v>
      </c>
      <c r="H40" s="32">
        <f t="shared" si="1"/>
        <v>-217.52420513667502</v>
      </c>
      <c r="I40" s="33" t="s">
        <v>68</v>
      </c>
      <c r="J40" s="33" t="s">
        <v>68</v>
      </c>
      <c r="K40" s="57" t="s">
        <v>68</v>
      </c>
      <c r="L40" s="33">
        <f>'Расчет дотаций'!N42-1</f>
        <v>0.19718309859154926</v>
      </c>
      <c r="M40" s="33">
        <f>L40*'Расчет дотаций'!O42</f>
        <v>2.957746478873239</v>
      </c>
      <c r="N40" s="32">
        <f t="shared" si="2"/>
        <v>1742.1242051366737</v>
      </c>
      <c r="O40" s="31">
        <f t="shared" si="3"/>
        <v>2.588437878535971</v>
      </c>
    </row>
    <row r="41" spans="1:16" ht="15" customHeight="1">
      <c r="A41" s="17" t="s">
        <v>2</v>
      </c>
      <c r="B41" s="29">
        <f>'Расчет дотаций'!T43</f>
        <v>1807.7999999999993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33">
        <f>'Расчет дотаций'!F43-1</f>
        <v>1.0700757575757613E-2</v>
      </c>
      <c r="G41" s="33">
        <f>F41*'Расчет дотаций'!G43</f>
        <v>0.10700757575757613</v>
      </c>
      <c r="H41" s="32">
        <f t="shared" si="1"/>
        <v>55.943041709337926</v>
      </c>
      <c r="I41" s="33" t="s">
        <v>68</v>
      </c>
      <c r="J41" s="33" t="s">
        <v>68</v>
      </c>
      <c r="K41" s="57" t="s">
        <v>68</v>
      </c>
      <c r="L41" s="33">
        <f>'Расчет дотаций'!N43-1</f>
        <v>0.22339622641509438</v>
      </c>
      <c r="M41" s="33">
        <f>L41*'Расчет дотаций'!O43</f>
        <v>3.3509433962264157</v>
      </c>
      <c r="N41" s="32">
        <f t="shared" si="2"/>
        <v>1751.8569582906614</v>
      </c>
      <c r="O41" s="31">
        <f t="shared" si="3"/>
        <v>3.4579509719839918</v>
      </c>
    </row>
    <row r="42" spans="1:16" ht="15" customHeight="1">
      <c r="A42" s="17" t="s">
        <v>39</v>
      </c>
      <c r="B42" s="29">
        <f>'Расчет дотаций'!T44</f>
        <v>2024.4000000000015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33">
        <f>'Расчет дотаций'!F44-1</f>
        <v>4.1382765531062127E-2</v>
      </c>
      <c r="G42" s="33">
        <f>F42*'Расчет дотаций'!G44</f>
        <v>0.41382765531062127</v>
      </c>
      <c r="H42" s="32">
        <f t="shared" si="1"/>
        <v>197.89914053314664</v>
      </c>
      <c r="I42" s="33" t="s">
        <v>68</v>
      </c>
      <c r="J42" s="33" t="s">
        <v>68</v>
      </c>
      <c r="K42" s="57" t="s">
        <v>68</v>
      </c>
      <c r="L42" s="33">
        <f>'Расчет дотаций'!N44-1</f>
        <v>0.25462686567164172</v>
      </c>
      <c r="M42" s="33">
        <f>L42*'Расчет дотаций'!O44</f>
        <v>3.8194029850746256</v>
      </c>
      <c r="N42" s="32">
        <f t="shared" si="2"/>
        <v>1826.5008594668548</v>
      </c>
      <c r="O42" s="31">
        <f t="shared" si="3"/>
        <v>4.2332306403852469</v>
      </c>
    </row>
    <row r="43" spans="1:16" ht="15" customHeight="1">
      <c r="A43" s="17" t="s">
        <v>3</v>
      </c>
      <c r="B43" s="29">
        <f>'Расчет дотаций'!T45</f>
        <v>2829.5999999999985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33">
        <f>'Расчет дотаций'!F45-1</f>
        <v>0.13746478873239432</v>
      </c>
      <c r="G43" s="33">
        <f>F43*'Расчет дотаций'!G45</f>
        <v>1.3746478873239432</v>
      </c>
      <c r="H43" s="32">
        <f t="shared" si="1"/>
        <v>662.11690242148109</v>
      </c>
      <c r="I43" s="33" t="s">
        <v>68</v>
      </c>
      <c r="J43" s="33" t="s">
        <v>68</v>
      </c>
      <c r="K43" s="57" t="s">
        <v>68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2"/>
        <v>2167.4830975785176</v>
      </c>
      <c r="O43" s="31">
        <f t="shared" si="3"/>
        <v>5.8746478873239436</v>
      </c>
    </row>
    <row r="44" spans="1:16" ht="15" customHeight="1">
      <c r="A44" s="17" t="s">
        <v>40</v>
      </c>
      <c r="B44" s="29">
        <f>'Расчет дотаций'!T46</f>
        <v>2151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33">
        <f>'Расчет дотаций'!F46-1</f>
        <v>8.7450808919982137E-3</v>
      </c>
      <c r="G44" s="33">
        <f>F44*'Расчет дотаций'!G46</f>
        <v>8.7450808919982137E-2</v>
      </c>
      <c r="H44" s="32">
        <f t="shared" si="1"/>
        <v>56.740187009020495</v>
      </c>
      <c r="I44" s="33" t="s">
        <v>68</v>
      </c>
      <c r="J44" s="33" t="s">
        <v>68</v>
      </c>
      <c r="K44" s="57" t="s">
        <v>68</v>
      </c>
      <c r="L44" s="33">
        <f>'Расчет дотаций'!N46-1</f>
        <v>0.21518518518518515</v>
      </c>
      <c r="M44" s="33">
        <f>L44*'Расчет дотаций'!O46</f>
        <v>3.227777777777777</v>
      </c>
      <c r="N44" s="32">
        <f>$B44*M44/O44</f>
        <v>2094.2598129909793</v>
      </c>
      <c r="O44" s="31">
        <f t="shared" si="3"/>
        <v>3.3152285866977591</v>
      </c>
    </row>
    <row r="45" spans="1:16" s="27" customFormat="1" ht="15" customHeight="1">
      <c r="A45" s="26" t="s">
        <v>45</v>
      </c>
      <c r="B45" s="30">
        <f>B6+B17</f>
        <v>60454.199999999983</v>
      </c>
      <c r="C45" s="30"/>
      <c r="D45" s="30"/>
      <c r="E45" s="30">
        <f>E6+E17</f>
        <v>0</v>
      </c>
      <c r="F45" s="30"/>
      <c r="G45" s="30"/>
      <c r="H45" s="30">
        <f>H6+H17</f>
        <v>38791.132851665665</v>
      </c>
      <c r="I45" s="30"/>
      <c r="J45" s="30"/>
      <c r="K45" s="30"/>
      <c r="L45" s="30"/>
      <c r="M45" s="30"/>
      <c r="N45" s="30">
        <f>N6+N17</f>
        <v>21663.067148334318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6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Карпенская Е.В.</cp:lastModifiedBy>
  <cp:lastPrinted>2022-04-21T13:51:40Z</cp:lastPrinted>
  <dcterms:created xsi:type="dcterms:W3CDTF">2010-02-05T14:48:49Z</dcterms:created>
  <dcterms:modified xsi:type="dcterms:W3CDTF">2022-06-29T04:31:13Z</dcterms:modified>
</cp:coreProperties>
</file>