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дотаций'!$A$1:$AG$50</definedName>
  </definedNames>
  <calcPr calcId="114210" fullCalcOnLoad="1"/>
</workbook>
</file>

<file path=xl/calcChain.xml><?xml version="1.0" encoding="utf-8"?>
<calcChain xmlns="http://schemas.openxmlformats.org/spreadsheetml/2006/main">
  <c r="AE46" i="7"/>
  <c r="AG46"/>
  <c r="AG24"/>
  <c r="AG9"/>
  <c r="AF10"/>
  <c r="AF24"/>
  <c r="AE9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8"/>
  <c r="AE10"/>
  <c r="AE11"/>
  <c r="AE12"/>
  <c r="AE13"/>
  <c r="AE14"/>
  <c r="AE15"/>
  <c r="AE16"/>
  <c r="AE17"/>
  <c r="AB47"/>
  <c r="P46"/>
  <c r="P9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D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F47"/>
  <c r="E47"/>
  <c r="D47"/>
  <c r="D19"/>
  <c r="D8"/>
  <c r="Y19"/>
  <c r="Y8"/>
  <c r="R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Y47"/>
  <c r="Z19"/>
  <c r="Z8"/>
  <c r="Z47"/>
  <c r="X19"/>
  <c r="X8"/>
  <c r="X47"/>
  <c r="Q19"/>
  <c r="Q8"/>
  <c r="Q47"/>
  <c r="W19"/>
  <c r="W8"/>
  <c r="W47"/>
  <c r="J46"/>
  <c r="I44" i="8"/>
  <c r="J44"/>
  <c r="J45" i="7"/>
  <c r="I43" i="8"/>
  <c r="J43"/>
  <c r="J44" i="7"/>
  <c r="I42" i="8"/>
  <c r="J42"/>
  <c r="J43" i="7"/>
  <c r="I41" i="8"/>
  <c r="J41"/>
  <c r="J42" i="7"/>
  <c r="I40" i="8"/>
  <c r="J40"/>
  <c r="J41" i="7"/>
  <c r="I39" i="8"/>
  <c r="J39"/>
  <c r="J40" i="7"/>
  <c r="I38" i="8"/>
  <c r="J38"/>
  <c r="J39" i="7"/>
  <c r="I37" i="8"/>
  <c r="J37"/>
  <c r="J38" i="7"/>
  <c r="I36" i="8"/>
  <c r="J36"/>
  <c r="J37" i="7"/>
  <c r="I35" i="8"/>
  <c r="J35"/>
  <c r="J36" i="7"/>
  <c r="I34" i="8"/>
  <c r="J34"/>
  <c r="J35" i="7"/>
  <c r="I33" i="8"/>
  <c r="J33"/>
  <c r="J34" i="7"/>
  <c r="I32" i="8"/>
  <c r="J32"/>
  <c r="J33" i="7"/>
  <c r="I31" i="8"/>
  <c r="J31"/>
  <c r="J32" i="7"/>
  <c r="I30" i="8"/>
  <c r="J30"/>
  <c r="J31" i="7"/>
  <c r="I29" i="8"/>
  <c r="J29"/>
  <c r="J30" i="7"/>
  <c r="I28" i="8"/>
  <c r="J28"/>
  <c r="J29" i="7"/>
  <c r="I27" i="8"/>
  <c r="J27"/>
  <c r="J28" i="7"/>
  <c r="I26" i="8"/>
  <c r="J26"/>
  <c r="J27" i="7"/>
  <c r="I25" i="8"/>
  <c r="J25"/>
  <c r="J26" i="7"/>
  <c r="I24" i="8"/>
  <c r="J24"/>
  <c r="J25" i="7"/>
  <c r="I23" i="8"/>
  <c r="J23"/>
  <c r="J24" i="7"/>
  <c r="I22" i="8"/>
  <c r="J22"/>
  <c r="J23" i="7"/>
  <c r="I21" i="8"/>
  <c r="J21"/>
  <c r="J22" i="7"/>
  <c r="I20" i="8"/>
  <c r="J20"/>
  <c r="J21" i="7"/>
  <c r="I19" i="8"/>
  <c r="J19"/>
  <c r="J20" i="7"/>
  <c r="I18" i="8"/>
  <c r="J18"/>
  <c r="J10" i="7"/>
  <c r="I8" i="8"/>
  <c r="J8"/>
  <c r="J11" i="7"/>
  <c r="I9" i="8"/>
  <c r="J9"/>
  <c r="J12" i="7"/>
  <c r="I10" i="8"/>
  <c r="J10"/>
  <c r="J13" i="7"/>
  <c r="I11" i="8"/>
  <c r="J11"/>
  <c r="J14" i="7"/>
  <c r="I12" i="8"/>
  <c r="J12"/>
  <c r="J15" i="7"/>
  <c r="I13" i="8"/>
  <c r="J13"/>
  <c r="J16" i="7"/>
  <c r="I14" i="8"/>
  <c r="J14"/>
  <c r="J17" i="7"/>
  <c r="I15" i="8"/>
  <c r="J15"/>
  <c r="J18" i="7"/>
  <c r="I16" i="8"/>
  <c r="J16"/>
  <c r="J9" i="7"/>
  <c r="I7" i="8"/>
  <c r="J7"/>
  <c r="I19" i="7"/>
  <c r="H19"/>
  <c r="I8"/>
  <c r="H8"/>
  <c r="H47"/>
  <c r="J19"/>
  <c r="J8"/>
  <c r="I47"/>
  <c r="J47"/>
  <c r="L19" i="8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18"/>
  <c r="M18"/>
  <c r="L16"/>
  <c r="M16"/>
  <c r="L8"/>
  <c r="M8"/>
  <c r="L9"/>
  <c r="M9"/>
  <c r="L10"/>
  <c r="M10"/>
  <c r="L11"/>
  <c r="M11"/>
  <c r="L12"/>
  <c r="M12"/>
  <c r="L13"/>
  <c r="M13"/>
  <c r="L14"/>
  <c r="M14"/>
  <c r="L15"/>
  <c r="M15"/>
  <c r="L7"/>
  <c r="M7"/>
  <c r="M19" i="7"/>
  <c r="L19"/>
  <c r="M8"/>
  <c r="L8"/>
  <c r="F34" i="8"/>
  <c r="G34"/>
  <c r="E19" i="7"/>
  <c r="E8"/>
  <c r="F42" i="8"/>
  <c r="G42"/>
  <c r="S9" i="7"/>
  <c r="T9"/>
  <c r="AA9"/>
  <c r="F26" i="8"/>
  <c r="G26"/>
  <c r="F18"/>
  <c r="G18"/>
  <c r="F15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S23"/>
  <c r="S44"/>
  <c r="S24"/>
  <c r="S37"/>
  <c r="S34"/>
  <c r="S22"/>
  <c r="S28"/>
  <c r="S33"/>
  <c r="S39"/>
  <c r="S27"/>
  <c r="S21"/>
  <c r="S38"/>
  <c r="S36"/>
  <c r="S41"/>
  <c r="S43"/>
  <c r="S31"/>
  <c r="S32"/>
  <c r="S45"/>
  <c r="S42"/>
  <c r="S26"/>
  <c r="S35"/>
  <c r="S40"/>
  <c r="S29"/>
  <c r="S46"/>
  <c r="S30"/>
  <c r="S20"/>
  <c r="S25"/>
  <c r="S14"/>
  <c r="S12"/>
  <c r="S10"/>
  <c r="S17"/>
  <c r="S11"/>
  <c r="S13"/>
  <c r="S16"/>
  <c r="S18"/>
  <c r="S15"/>
  <c r="N47"/>
  <c r="T40"/>
  <c r="AA40"/>
  <c r="T21"/>
  <c r="AA21"/>
  <c r="AG21"/>
  <c r="T30"/>
  <c r="AA30"/>
  <c r="AG30"/>
  <c r="T26"/>
  <c r="AA26"/>
  <c r="AG26"/>
  <c r="T32"/>
  <c r="AA32"/>
  <c r="AG32"/>
  <c r="T38"/>
  <c r="AA38"/>
  <c r="AG38"/>
  <c r="T39"/>
  <c r="AA39"/>
  <c r="AG39"/>
  <c r="T37"/>
  <c r="AA37"/>
  <c r="AG37"/>
  <c r="T23"/>
  <c r="AA23"/>
  <c r="T25"/>
  <c r="AA25"/>
  <c r="AG25"/>
  <c r="T41"/>
  <c r="AA41"/>
  <c r="T24"/>
  <c r="AA24"/>
  <c r="T20"/>
  <c r="AA20"/>
  <c r="AG20"/>
  <c r="T29"/>
  <c r="AA29"/>
  <c r="AG29"/>
  <c r="T45"/>
  <c r="AA45"/>
  <c r="T43"/>
  <c r="AA43"/>
  <c r="AG43"/>
  <c r="T27"/>
  <c r="AA27"/>
  <c r="T28"/>
  <c r="AA28"/>
  <c r="AG28"/>
  <c r="T44"/>
  <c r="AA44"/>
  <c r="AG44"/>
  <c r="T42"/>
  <c r="AA42"/>
  <c r="AG42"/>
  <c r="T22"/>
  <c r="AA22"/>
  <c r="T46"/>
  <c r="AA46"/>
  <c r="T35"/>
  <c r="AA35"/>
  <c r="AG35"/>
  <c r="T31"/>
  <c r="AA31"/>
  <c r="AG31"/>
  <c r="T36"/>
  <c r="AA36"/>
  <c r="AG36"/>
  <c r="T33"/>
  <c r="AA33"/>
  <c r="AG33"/>
  <c r="T34"/>
  <c r="AA34"/>
  <c r="AG34"/>
  <c r="T16"/>
  <c r="AA16"/>
  <c r="AG16"/>
  <c r="T17"/>
  <c r="AA17"/>
  <c r="AG17"/>
  <c r="T14"/>
  <c r="AA14"/>
  <c r="AG14"/>
  <c r="T18"/>
  <c r="AA18"/>
  <c r="AG18"/>
  <c r="T11"/>
  <c r="AA11"/>
  <c r="T12"/>
  <c r="AA12"/>
  <c r="AG12"/>
  <c r="T13"/>
  <c r="AA13"/>
  <c r="T15"/>
  <c r="AA15"/>
  <c r="AG15"/>
  <c r="T10"/>
  <c r="AA10"/>
  <c r="AG45"/>
  <c r="AG41"/>
  <c r="AG13"/>
  <c r="V19"/>
  <c r="V8"/>
  <c r="V47"/>
  <c r="C7" i="8"/>
  <c r="D7"/>
  <c r="O7"/>
  <c r="AG10" i="7"/>
  <c r="AG23"/>
  <c r="AG22"/>
  <c r="AG27"/>
  <c r="AG40"/>
  <c r="AG11"/>
  <c r="AE8"/>
  <c r="AC47"/>
  <c r="AG19"/>
  <c r="AF19"/>
  <c r="AF8"/>
  <c r="AG8"/>
  <c r="U19"/>
  <c r="U8"/>
  <c r="AF47"/>
  <c r="AG47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H7" i="8"/>
  <c r="N7"/>
  <c r="T19" i="7"/>
  <c r="T8"/>
  <c r="R47"/>
  <c r="T47"/>
  <c r="S19"/>
  <c r="S8"/>
  <c r="AE19"/>
  <c r="AE47"/>
  <c r="AA19"/>
  <c r="AA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AA47" i="7"/>
  <c r="K6" i="8"/>
  <c r="K17"/>
  <c r="N13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E7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<sst xmlns="http://schemas.openxmlformats.org/spreadsheetml/2006/main" count="153" uniqueCount="98">
  <si>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</si>
  <si>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</si>
  <si>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</si>
  <si>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</si>
  <si>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</si>
  <si>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</si>
  <si>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</si>
  <si>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</si>
  <si>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</si>
  <si>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</si>
  <si>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</si>
  <si>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</si>
  <si>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</si>
  <si>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</si>
  <si>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</si>
  <si>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</si>
  <si>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</si>
  <si>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</si>
  <si>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</si>
  <si>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</si>
  <si>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</si>
  <si>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</si>
  <si>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</si>
  <si>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</si>
  <si>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</si>
  <si>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</si>
  <si>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</si>
  <si>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</si>
  <si>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</si>
  <si>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</si>
  <si>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</si>
  <si>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</si>
  <si>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</si>
  <si>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</si>
  <si>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</si>
  <si>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</si>
  <si>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</si>
  <si>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</si>
  <si>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</si>
  <si>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</si>
  <si>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</si>
  <si>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</si>
  <si>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</si>
  <si>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</si>
  <si>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</si>
  <si>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</si>
  <si>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</si>
  <si>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</si>
  <si>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</si>
  <si>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</si>
  <si>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</si>
  <si>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</si>
  <si>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</si>
  <si>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</si>
  <si>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</si>
  <si>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</si>
  <si>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</si>
  <si>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</si>
  <si>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</si>
  <si>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</si>
  <si>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</si>
  <si>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</si>
  <si>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</si>
  <si>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</si>
  <si>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</si>
  <si>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</si>
  <si>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</si>
  <si>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</si>
  <si>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</si>
  <si>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</si>
  <si>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</si>
  <si>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</si>
  <si>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</si>
  <si>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</si>
  <si>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</si>
  <si>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</si>
  <si>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</si>
  <si>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</si>
  <si>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</si>
  <si>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Размер ежемесячного удержания дотаций в связи с исполнением показателей за 2019 год</t>
  </si>
  <si>
    <t>за апрель</t>
  </si>
  <si>
    <t>Факторный анализ влияния отдельных показателей на итоговое распределение дотаций за 6 месяцев 2020 года</t>
  </si>
  <si>
    <t>За 6 месяцев 2020 года</t>
  </si>
  <si>
    <t>18=17/11мес.*6</t>
  </si>
  <si>
    <t>за май</t>
  </si>
  <si>
    <t>Удержано дотаций за апрель-май 2020 года в связи с исполнением показателей за 2019 год, тыс. рублей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</si>
  <si>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01.07.2020)</t>
    </r>
  </si>
  <si>
    <t>Распределение дотаций за июнь за вычетом предоставлен-ных дотаций за январь-май, тыс. рублей</t>
  </si>
  <si>
    <t>27=19-(21+…+26)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</si>
  <si>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</si>
  <si>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непривлечение кредитов кредитных организаций в июне 2020 года МО у которых доля дотаций на выравнивание бюджетной обеспеченности в доходах бюджета (без учета субвенций) за 2019 год 
&gt; 15 %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</si>
  <si>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01.07.2020)</t>
    </r>
  </si>
  <si>
    <t>Распределение дотаций за июнь с учетом выполнения условий предоставления дотаций</t>
  </si>
  <si>
    <r>
      <t xml:space="preserve">Эффективность муниципального земельного контроля (единиц)
</t>
    </r>
    <r>
      <rPr>
        <sz val="9"/>
        <color indexed="53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01.04.2020)</t>
    </r>
  </si>
  <si>
    <t>Распределение дотаций за июнь с учетом удержания и выполнения условия предоставления дотаций</t>
  </si>
  <si>
    <t xml:space="preserve">согласование увеличения объема планируемых к привлечению кредитов от кредитных организаций - МО в бюджетах которых в июне 2020 года (с 26.06.2020) увеличен объем планируемых к привлечению кредитов от кредитных организаций </t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</si>
  <si>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01.07.2020)</t>
    </r>
  </si>
  <si>
    <t>соблюдение норматива формирования расходов на содержание органов местного самоуправления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</si>
</sst>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sz val="9"/>
      <color indexed="53"/>
      <name val="Arial Narrow"/>
      <family val="2"/>
      <charset val="204"/>
    </font>
    <font>
      <i/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2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2" fillId="0" borderId="0"/>
    <xf numFmtId="0" fontId="2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93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165" fontId="2" fillId="0" borderId="0" xfId="0" applyNumberFormat="1" applyFont="1" applyFill="1" applyBorder="1" applyAlignment="1">
      <alignment vertical="center"/>
    </xf>
    <xf numFmtId="165" fontId="11" fillId="0" borderId="0" xfId="0" applyNumberFormat="1" applyFont="1" applyFill="1" applyBorder="1" applyAlignment="1">
      <alignment vertical="center"/>
    </xf>
    <xf numFmtId="0" fontId="19" fillId="17" borderId="3" xfId="0" applyFont="1" applyFill="1" applyBorder="1" applyAlignment="1">
      <alignment horizontal="center" vertical="center" wrapText="1"/>
    </xf>
    <xf numFmtId="165" fontId="11" fillId="14" borderId="3" xfId="0" applyNumberFormat="1" applyFont="1" applyFill="1" applyBorder="1" applyAlignment="1">
      <alignment horizontal="right"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8" borderId="3" xfId="0" applyFont="1" applyFill="1" applyBorder="1" applyAlignment="1">
      <alignment horizontal="center" vertical="center" wrapText="1"/>
    </xf>
    <xf numFmtId="0" fontId="14" fillId="19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1" fillId="16" borderId="15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N52"/>
  <sheetViews>
    <sheetView tabSelected="1" view="pageBreakPreview" zoomScale="90" zoomScaleNormal="70" zoomScaleSheetLayoutView="90" workbookViewId="0">
      <pane xSplit="1" ySplit="7" topLeftCell="K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1.5703125" style="1" bestFit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6" width="11.5703125" style="1" customWidth="1"/>
    <col min="27" max="27" width="16" style="1" customWidth="1"/>
    <col min="28" max="28" width="14.42578125" style="1" customWidth="1"/>
    <col min="29" max="29" width="20.28515625" style="1" customWidth="1"/>
    <col min="30" max="30" width="22.140625" style="1" customWidth="1"/>
    <col min="31" max="31" width="13" style="1" customWidth="1"/>
    <col min="32" max="32" width="12.140625" style="1" customWidth="1"/>
    <col min="33" max="33" width="13.7109375" style="1" customWidth="1"/>
    <col min="34" max="34" width="11.85546875" style="1" bestFit="1" customWidth="1"/>
    <col min="35" max="35" width="47.85546875" style="1" customWidth="1"/>
    <col min="36" max="36" width="10.5703125" style="1" bestFit="1" customWidth="1"/>
    <col min="37" max="37" width="12.7109375" style="1" bestFit="1" customWidth="1"/>
    <col min="38" max="16384" width="9.140625" style="1"/>
  </cols>
  <sheetData>
    <row r="1" spans="1:40" ht="21.75" customHeight="1">
      <c r="B1" s="65" t="s">
        <v>57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40" ht="15.75">
      <c r="A2" s="35" t="s">
        <v>82</v>
      </c>
    </row>
    <row r="3" spans="1:40" ht="39.75" customHeight="1">
      <c r="A3" s="61" t="s">
        <v>15</v>
      </c>
      <c r="B3" s="64" t="s">
        <v>91</v>
      </c>
      <c r="C3" s="64"/>
      <c r="D3" s="66" t="s">
        <v>86</v>
      </c>
      <c r="E3" s="66"/>
      <c r="F3" s="66"/>
      <c r="G3" s="66"/>
      <c r="H3" s="66" t="s">
        <v>93</v>
      </c>
      <c r="I3" s="66"/>
      <c r="J3" s="66"/>
      <c r="K3" s="66"/>
      <c r="L3" s="66" t="s">
        <v>96</v>
      </c>
      <c r="M3" s="66"/>
      <c r="N3" s="66"/>
      <c r="O3" s="66"/>
      <c r="P3" s="63" t="s">
        <v>50</v>
      </c>
      <c r="Q3" s="62" t="s">
        <v>47</v>
      </c>
      <c r="R3" s="61" t="s">
        <v>48</v>
      </c>
      <c r="S3" s="61" t="s">
        <v>51</v>
      </c>
      <c r="T3" s="61" t="s">
        <v>45</v>
      </c>
      <c r="U3" s="67" t="s">
        <v>60</v>
      </c>
      <c r="V3" s="68"/>
      <c r="W3" s="68"/>
      <c r="X3" s="68"/>
      <c r="Y3" s="69"/>
      <c r="Z3" s="82" t="s">
        <v>85</v>
      </c>
      <c r="AA3" s="61" t="s">
        <v>87</v>
      </c>
      <c r="AB3" s="74" t="s">
        <v>89</v>
      </c>
      <c r="AC3" s="75"/>
      <c r="AD3" s="76"/>
      <c r="AE3" s="61" t="s">
        <v>92</v>
      </c>
      <c r="AF3" s="61" t="s">
        <v>79</v>
      </c>
      <c r="AG3" s="61" t="s">
        <v>94</v>
      </c>
    </row>
    <row r="4" spans="1:40" ht="30" customHeight="1">
      <c r="A4" s="61"/>
      <c r="B4" s="64"/>
      <c r="C4" s="64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3"/>
      <c r="Q4" s="62"/>
      <c r="R4" s="61"/>
      <c r="S4" s="61"/>
      <c r="T4" s="61"/>
      <c r="U4" s="70"/>
      <c r="V4" s="71"/>
      <c r="W4" s="71"/>
      <c r="X4" s="71"/>
      <c r="Y4" s="72"/>
      <c r="Z4" s="83"/>
      <c r="AA4" s="61"/>
      <c r="AB4" s="77"/>
      <c r="AC4" s="78"/>
      <c r="AD4" s="79"/>
      <c r="AE4" s="61"/>
      <c r="AF4" s="61"/>
      <c r="AG4" s="61"/>
    </row>
    <row r="5" spans="1:40" ht="99.75" customHeight="1">
      <c r="A5" s="61"/>
      <c r="B5" s="64"/>
      <c r="C5" s="64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3"/>
      <c r="Q5" s="62"/>
      <c r="R5" s="61"/>
      <c r="S5" s="61"/>
      <c r="T5" s="61"/>
      <c r="U5" s="61" t="s">
        <v>61</v>
      </c>
      <c r="V5" s="61" t="s">
        <v>62</v>
      </c>
      <c r="W5" s="61" t="s">
        <v>78</v>
      </c>
      <c r="X5" s="61" t="s">
        <v>80</v>
      </c>
      <c r="Y5" s="61" t="s">
        <v>84</v>
      </c>
      <c r="Z5" s="83"/>
      <c r="AA5" s="61"/>
      <c r="AB5" s="73" t="s">
        <v>97</v>
      </c>
      <c r="AC5" s="73" t="s">
        <v>90</v>
      </c>
      <c r="AD5" s="73" t="s">
        <v>95</v>
      </c>
      <c r="AE5" s="61"/>
      <c r="AF5" s="61"/>
      <c r="AG5" s="61"/>
    </row>
    <row r="6" spans="1:40" ht="40.5" customHeight="1">
      <c r="A6" s="61"/>
      <c r="B6" s="43" t="s">
        <v>52</v>
      </c>
      <c r="C6" s="43" t="s">
        <v>16</v>
      </c>
      <c r="D6" s="49" t="s">
        <v>63</v>
      </c>
      <c r="E6" s="49" t="s">
        <v>64</v>
      </c>
      <c r="F6" s="49" t="s">
        <v>65</v>
      </c>
      <c r="G6" s="49" t="s">
        <v>16</v>
      </c>
      <c r="H6" s="49" t="s">
        <v>63</v>
      </c>
      <c r="I6" s="49" t="s">
        <v>64</v>
      </c>
      <c r="J6" s="49" t="s">
        <v>65</v>
      </c>
      <c r="K6" s="49" t="s">
        <v>16</v>
      </c>
      <c r="L6" s="49" t="s">
        <v>63</v>
      </c>
      <c r="M6" s="49" t="s">
        <v>64</v>
      </c>
      <c r="N6" s="49" t="s">
        <v>65</v>
      </c>
      <c r="O6" s="49" t="s">
        <v>16</v>
      </c>
      <c r="P6" s="63"/>
      <c r="Q6" s="62"/>
      <c r="R6" s="61"/>
      <c r="S6" s="61"/>
      <c r="T6" s="61"/>
      <c r="U6" s="61"/>
      <c r="V6" s="61"/>
      <c r="W6" s="61"/>
      <c r="X6" s="61"/>
      <c r="Y6" s="61"/>
      <c r="Z6" s="84"/>
      <c r="AA6" s="61"/>
      <c r="AB6" s="73"/>
      <c r="AC6" s="73"/>
      <c r="AD6" s="73"/>
      <c r="AE6" s="61"/>
      <c r="AF6" s="61"/>
      <c r="AG6" s="61"/>
    </row>
    <row r="7" spans="1:40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67</v>
      </c>
      <c r="G7" s="13">
        <v>7</v>
      </c>
      <c r="H7" s="13">
        <v>8</v>
      </c>
      <c r="I7" s="13">
        <v>9</v>
      </c>
      <c r="J7" s="13" t="s">
        <v>66</v>
      </c>
      <c r="K7" s="13">
        <v>11</v>
      </c>
      <c r="L7" s="13">
        <v>12</v>
      </c>
      <c r="M7" s="13">
        <v>13</v>
      </c>
      <c r="N7" s="13" t="s">
        <v>68</v>
      </c>
      <c r="O7" s="13">
        <v>15</v>
      </c>
      <c r="P7" s="13">
        <v>16</v>
      </c>
      <c r="Q7" s="13">
        <v>17</v>
      </c>
      <c r="R7" s="13" t="s">
        <v>83</v>
      </c>
      <c r="S7" s="13" t="s">
        <v>69</v>
      </c>
      <c r="T7" s="13" t="s">
        <v>70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59" t="s">
        <v>88</v>
      </c>
      <c r="AB7" s="59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"/>
      <c r="AI7" s="1"/>
      <c r="AJ7" s="1"/>
      <c r="AK7" s="1"/>
      <c r="AL7" s="1"/>
      <c r="AM7" s="1"/>
    </row>
    <row r="8" spans="1:40" s="3" customFormat="1" ht="32.85" customHeight="1">
      <c r="A8" s="20" t="s">
        <v>53</v>
      </c>
      <c r="B8" s="9"/>
      <c r="C8" s="9"/>
      <c r="D8" s="18">
        <f>SUM(D9:D18)</f>
        <v>792171</v>
      </c>
      <c r="E8" s="18">
        <f>SUM(E9:E18)</f>
        <v>772665.46999999974</v>
      </c>
      <c r="F8" s="52">
        <f>IF(E8/D8&gt;1.2,IF((E8/D8-1.2)*0.1+1.2&gt;1.3,1.3,(E8/D8-1.2)*0.1+1.2),E8/D8)</f>
        <v>0.97537712185879022</v>
      </c>
      <c r="G8" s="9"/>
      <c r="H8" s="18">
        <f>SUM(H9:H18)</f>
        <v>4457</v>
      </c>
      <c r="I8" s="18">
        <f>SUM(I9:I18)</f>
        <v>5286</v>
      </c>
      <c r="J8" s="52">
        <f>IF(I8/H8&gt;1.2,IF((I8/H8-1.2)*0.1+1.2&gt;1.3,1.3,(I8/H8-1.2)*0.1+1.2),I8/H8)</f>
        <v>1.1859995512676689</v>
      </c>
      <c r="K8" s="9"/>
      <c r="L8" s="18">
        <f>SUM(L9:L18)</f>
        <v>3872.1000000000004</v>
      </c>
      <c r="M8" s="18">
        <f>SUM(M9:M18)</f>
        <v>2184.5</v>
      </c>
      <c r="N8" s="52">
        <f>IF(L8/M8&gt;1.2,IF((L8/M8-1.2)*0.1+1.2&gt;1.3,1.3,(L8/M8-1.2)*0.1+1.2),L8/M8)</f>
        <v>1.2572533760585947</v>
      </c>
      <c r="O8" s="9"/>
      <c r="P8" s="10"/>
      <c r="Q8" s="45">
        <f>SUM(Q9:Q18)</f>
        <v>2259228</v>
      </c>
      <c r="R8" s="18">
        <f>SUM(R9:R18)</f>
        <v>1232306.1000000001</v>
      </c>
      <c r="S8" s="18">
        <f>SUM(S9:S18)</f>
        <v>1249193</v>
      </c>
      <c r="T8" s="18">
        <f>SUM(T9:T18)</f>
        <v>16886.899999999961</v>
      </c>
      <c r="U8" s="18">
        <f t="shared" ref="U8:AA8" si="0">SUM(U9:U18)</f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167793.39999999997</v>
      </c>
      <c r="Y8" s="18">
        <f t="shared" si="0"/>
        <v>319489.39999999997</v>
      </c>
      <c r="Z8" s="18">
        <f t="shared" si="0"/>
        <v>47815.8</v>
      </c>
      <c r="AA8" s="18">
        <f t="shared" si="0"/>
        <v>216117</v>
      </c>
      <c r="AB8" s="18"/>
      <c r="AC8" s="18"/>
      <c r="AD8" s="18"/>
      <c r="AE8" s="18">
        <f>SUM(AE9:AE18)</f>
        <v>216117</v>
      </c>
      <c r="AF8" s="18">
        <f>SUM(AF9:AF18)</f>
        <v>10621.8</v>
      </c>
      <c r="AG8" s="18">
        <f>SUM(AG9:AG18)</f>
        <v>205495.19999999998</v>
      </c>
      <c r="AH8" s="1"/>
      <c r="AI8" s="1"/>
      <c r="AJ8" s="1"/>
      <c r="AK8" s="1"/>
      <c r="AL8" s="1"/>
      <c r="AM8" s="1"/>
    </row>
    <row r="9" spans="1:40" s="2" customFormat="1" ht="16.5" customHeight="1">
      <c r="A9" s="5" t="s">
        <v>5</v>
      </c>
      <c r="B9" s="4">
        <v>1</v>
      </c>
      <c r="C9" s="4">
        <v>15</v>
      </c>
      <c r="D9" s="50">
        <v>427472</v>
      </c>
      <c r="E9" s="50">
        <v>413311.7</v>
      </c>
      <c r="F9" s="51">
        <f>IF(G9=0,0,IF(D9=0,1,IF(E9&lt;0,0,IF(E9/D9&gt;1.2,IF((E9/D9-1.2)*0.1+1.2&gt;1.3,1.3,(E9/D9-1.2)*0.1+1.2),E9/D9))))</f>
        <v>0.96687432159299325</v>
      </c>
      <c r="G9" s="4">
        <v>15</v>
      </c>
      <c r="H9" s="4">
        <v>1273</v>
      </c>
      <c r="I9" s="4">
        <v>1672</v>
      </c>
      <c r="J9" s="51">
        <f>IF(K9=0,0,IF(H9=0,1,IF(I9&lt;0,0,IF(I9/H9&gt;1.2,IF((I9/H9-1.2)*0.1+1.2&gt;1.3,1.3,(I9/H9-1.2)*0.1+1.2),I9/H9))))</f>
        <v>1.2113432835820894</v>
      </c>
      <c r="K9" s="4">
        <v>20</v>
      </c>
      <c r="L9" s="50">
        <v>1422.8</v>
      </c>
      <c r="M9" s="50">
        <v>1127.4000000000001</v>
      </c>
      <c r="N9" s="51">
        <f>IF(O9=0,0,IF(M9=0,1.3,IF(M9&lt;0,0,IF(L9/M9&gt;1.2,IF((L9/M9-1.2)*0.1+1.2&gt;1.3,1.3,(L9/M9-1.2)*0.1+1.2),L9/M9))))</f>
        <v>1.2062018804328543</v>
      </c>
      <c r="O9" s="4">
        <v>15</v>
      </c>
      <c r="P9" s="24">
        <f>(B9*C9+F9*G9+J9*K9+N9*O9)/(C9+G9+K9+O9)</f>
        <v>1.1049693646466077</v>
      </c>
      <c r="Q9" s="46">
        <v>647146</v>
      </c>
      <c r="R9" s="19">
        <f>ROUND(Q9/11*6,1)</f>
        <v>352988.7</v>
      </c>
      <c r="S9" s="19">
        <f>ROUND(P9*R9,1)</f>
        <v>390041.7</v>
      </c>
      <c r="T9" s="19">
        <f>S9-R9</f>
        <v>37053</v>
      </c>
      <c r="U9" s="19">
        <v>27588.1</v>
      </c>
      <c r="V9" s="19">
        <v>27588.1</v>
      </c>
      <c r="W9" s="19">
        <v>0</v>
      </c>
      <c r="X9" s="19">
        <v>58610.3</v>
      </c>
      <c r="Y9" s="19">
        <v>196563</v>
      </c>
      <c r="Z9" s="19">
        <v>11346.5</v>
      </c>
      <c r="AA9" s="19">
        <f>IF(S9-SUM(U9:Z9)&gt;0,S9-SUM(U9:Z9),0)</f>
        <v>68345.700000000012</v>
      </c>
      <c r="AB9" s="19"/>
      <c r="AC9" s="41"/>
      <c r="AD9" s="41"/>
      <c r="AE9" s="19">
        <f>IF(OR(AB9="+",AC9="+",AD9="+"),0,AA9)</f>
        <v>68345.700000000012</v>
      </c>
      <c r="AF9" s="19"/>
      <c r="AG9" s="19">
        <f>ROUND(AE9-AF9,1)</f>
        <v>68345.7</v>
      </c>
      <c r="AH9" s="57"/>
      <c r="AI9" s="1"/>
      <c r="AJ9" s="1"/>
      <c r="AK9" s="1"/>
      <c r="AL9" s="1"/>
      <c r="AM9" s="1"/>
      <c r="AN9" s="58"/>
    </row>
    <row r="10" spans="1:40" s="2" customFormat="1" ht="17.100000000000001" customHeight="1">
      <c r="A10" s="5" t="s">
        <v>6</v>
      </c>
      <c r="B10" s="4">
        <v>1</v>
      </c>
      <c r="C10" s="4">
        <v>15</v>
      </c>
      <c r="D10" s="50">
        <v>182094</v>
      </c>
      <c r="E10" s="50">
        <v>179953.5</v>
      </c>
      <c r="F10" s="51">
        <f t="shared" ref="F10:F46" si="1">IF(G10=0,0,IF(D10=0,1,IF(E10&lt;0,0,IF(E10/D10&gt;1.2,IF((E10/D10-1.2)*0.1+1.2&gt;1.3,1.3,(E10/D10-1.2)*0.1+1.2),E10/D10))))</f>
        <v>0.98824508221028695</v>
      </c>
      <c r="G10" s="4">
        <v>15</v>
      </c>
      <c r="H10" s="4">
        <v>382</v>
      </c>
      <c r="I10" s="4">
        <v>213</v>
      </c>
      <c r="J10" s="51">
        <f t="shared" ref="J10:J46" si="2">IF(K10=0,0,IF(H10=0,1,IF(I10&lt;0,0,IF(I10/H10&gt;1.2,IF((I10/H10-1.2)*0.1+1.2&gt;1.3,1.3,(I10/H10-1.2)*0.1+1.2),I10/H10))))</f>
        <v>0.55759162303664922</v>
      </c>
      <c r="K10" s="4">
        <v>20</v>
      </c>
      <c r="L10" s="50">
        <v>377.9</v>
      </c>
      <c r="M10" s="50">
        <v>220.3</v>
      </c>
      <c r="N10" s="51">
        <f t="shared" ref="N10:N46" si="3">IF(O10=0,0,IF(M10=0,1.3,IF(M10&lt;0,0,IF(L10/M10&gt;1.2,IF((L10/M10-1.2)*0.1+1.2&gt;1.3,1.3,(L10/M10-1.2)*0.1+1.2),L10/M10))))</f>
        <v>1.2515388107126646</v>
      </c>
      <c r="O10" s="4">
        <v>15</v>
      </c>
      <c r="P10" s="24">
        <f t="shared" ref="P10:P45" si="4">(B10*C10+F10*G10+J10*K10+N10*O10)/(C10+G10+K10+O10)</f>
        <v>0.9192090900704194</v>
      </c>
      <c r="Q10" s="46">
        <v>790501</v>
      </c>
      <c r="R10" s="19">
        <f t="shared" ref="R10:R45" si="5">ROUND(Q10/11*6,1)</f>
        <v>431182.4</v>
      </c>
      <c r="S10" s="19">
        <f t="shared" ref="S10:S45" si="6">ROUND(P10*R10,1)</f>
        <v>396346.8</v>
      </c>
      <c r="T10" s="19">
        <f t="shared" ref="T10:T45" si="7">S10-R10</f>
        <v>-34835.600000000035</v>
      </c>
      <c r="U10" s="19">
        <v>66772.800000000003</v>
      </c>
      <c r="V10" s="19">
        <v>66772.800000000003</v>
      </c>
      <c r="W10" s="19">
        <v>82160.800000000003</v>
      </c>
      <c r="X10" s="19">
        <v>29939.8</v>
      </c>
      <c r="Y10" s="19">
        <v>47937.1</v>
      </c>
      <c r="Z10" s="19">
        <v>35931.800000000003</v>
      </c>
      <c r="AA10" s="19">
        <f t="shared" ref="AA10:AA46" si="8">IF(S10-SUM(U10:Z10)&gt;0,S10-SUM(U10:Z10),0)</f>
        <v>66831.700000000012</v>
      </c>
      <c r="AB10" s="19"/>
      <c r="AC10" s="41"/>
      <c r="AD10" s="41"/>
      <c r="AE10" s="19">
        <f t="shared" ref="AE10:AE17" si="9">IF(OR(AB10="+",AC10="+",AD10="+"),0,AA10)</f>
        <v>66831.700000000012</v>
      </c>
      <c r="AF10" s="19">
        <f>MIN(AE10,10621.8)</f>
        <v>10621.8</v>
      </c>
      <c r="AG10" s="19">
        <f>ROUND(AE10-AF10,1)</f>
        <v>56209.9</v>
      </c>
      <c r="AH10" s="57"/>
      <c r="AI10" s="1"/>
      <c r="AJ10" s="1"/>
      <c r="AK10" s="1"/>
      <c r="AL10" s="1"/>
      <c r="AM10" s="1"/>
      <c r="AN10" s="58"/>
    </row>
    <row r="11" spans="1:40" s="2" customFormat="1" ht="17.100000000000001" customHeight="1">
      <c r="A11" s="5" t="s">
        <v>7</v>
      </c>
      <c r="B11" s="4">
        <v>1</v>
      </c>
      <c r="C11" s="4">
        <v>15</v>
      </c>
      <c r="D11" s="50">
        <v>57243</v>
      </c>
      <c r="E11" s="50">
        <v>55191.1</v>
      </c>
      <c r="F11" s="51">
        <f t="shared" si="1"/>
        <v>0.96415456911762132</v>
      </c>
      <c r="G11" s="4">
        <v>15</v>
      </c>
      <c r="H11" s="4">
        <v>382</v>
      </c>
      <c r="I11" s="4">
        <v>890</v>
      </c>
      <c r="J11" s="51">
        <f t="shared" si="2"/>
        <v>1.3</v>
      </c>
      <c r="K11" s="4">
        <v>20</v>
      </c>
      <c r="L11" s="50">
        <v>1405.1</v>
      </c>
      <c r="M11" s="50">
        <v>239</v>
      </c>
      <c r="N11" s="51">
        <f t="shared" si="3"/>
        <v>1.3</v>
      </c>
      <c r="O11" s="4">
        <v>15</v>
      </c>
      <c r="P11" s="24">
        <f t="shared" si="4"/>
        <v>1.1532664390271432</v>
      </c>
      <c r="Q11" s="46">
        <v>179525</v>
      </c>
      <c r="R11" s="19">
        <f t="shared" si="5"/>
        <v>97922.7</v>
      </c>
      <c r="S11" s="19">
        <f t="shared" si="6"/>
        <v>112931</v>
      </c>
      <c r="T11" s="19">
        <f t="shared" si="7"/>
        <v>15008.300000000003</v>
      </c>
      <c r="U11" s="19">
        <v>16320.5</v>
      </c>
      <c r="V11" s="19">
        <v>16320.4</v>
      </c>
      <c r="W11" s="19">
        <v>15874.1</v>
      </c>
      <c r="X11" s="19">
        <v>21843.200000000001</v>
      </c>
      <c r="Y11" s="19">
        <v>17724</v>
      </c>
      <c r="Z11" s="19">
        <v>537.5</v>
      </c>
      <c r="AA11" s="19">
        <f t="shared" si="8"/>
        <v>24311.300000000003</v>
      </c>
      <c r="AB11" s="60"/>
      <c r="AC11" s="41"/>
      <c r="AD11" s="41"/>
      <c r="AE11" s="19">
        <f t="shared" si="9"/>
        <v>24311.300000000003</v>
      </c>
      <c r="AF11" s="19"/>
      <c r="AG11" s="19">
        <f t="shared" ref="AG11:AG45" si="10">ROUND(AE11-AF11,1)</f>
        <v>24311.3</v>
      </c>
      <c r="AH11" s="57"/>
      <c r="AI11" s="1"/>
      <c r="AJ11" s="1"/>
      <c r="AK11" s="1"/>
      <c r="AL11" s="1"/>
      <c r="AM11" s="1"/>
      <c r="AN11" s="58"/>
    </row>
    <row r="12" spans="1:40" s="2" customFormat="1" ht="17.100000000000001" customHeight="1">
      <c r="A12" s="5" t="s">
        <v>8</v>
      </c>
      <c r="B12" s="4">
        <v>1</v>
      </c>
      <c r="C12" s="4">
        <v>15</v>
      </c>
      <c r="D12" s="50">
        <v>37914</v>
      </c>
      <c r="E12" s="50">
        <v>37063.199999999997</v>
      </c>
      <c r="F12" s="51">
        <f t="shared" si="1"/>
        <v>0.97755974046526339</v>
      </c>
      <c r="G12" s="4">
        <v>15</v>
      </c>
      <c r="H12" s="4">
        <v>382</v>
      </c>
      <c r="I12" s="4">
        <v>571</v>
      </c>
      <c r="J12" s="51">
        <f t="shared" si="2"/>
        <v>1.229476439790576</v>
      </c>
      <c r="K12" s="4">
        <v>20</v>
      </c>
      <c r="L12" s="50">
        <v>235.3</v>
      </c>
      <c r="M12" s="50">
        <v>202.6</v>
      </c>
      <c r="N12" s="51">
        <f t="shared" si="3"/>
        <v>1.1614017769002962</v>
      </c>
      <c r="O12" s="4">
        <v>15</v>
      </c>
      <c r="P12" s="24">
        <f t="shared" si="4"/>
        <v>1.1026761777891525</v>
      </c>
      <c r="Q12" s="46">
        <v>76337</v>
      </c>
      <c r="R12" s="19">
        <f t="shared" si="5"/>
        <v>41638.400000000001</v>
      </c>
      <c r="S12" s="19">
        <f t="shared" si="6"/>
        <v>45913.7</v>
      </c>
      <c r="T12" s="19">
        <f t="shared" si="7"/>
        <v>4275.2999999999956</v>
      </c>
      <c r="U12" s="19">
        <v>6939.7</v>
      </c>
      <c r="V12" s="19">
        <v>6939.8</v>
      </c>
      <c r="W12" s="19">
        <v>7576.9</v>
      </c>
      <c r="X12" s="19">
        <v>8850.7000000000007</v>
      </c>
      <c r="Y12" s="19">
        <v>7576.7</v>
      </c>
      <c r="Z12" s="19"/>
      <c r="AA12" s="19">
        <f t="shared" si="8"/>
        <v>8029.8999999999942</v>
      </c>
      <c r="AB12" s="19"/>
      <c r="AC12" s="41"/>
      <c r="AD12" s="41"/>
      <c r="AE12" s="19">
        <f t="shared" si="9"/>
        <v>8029.8999999999942</v>
      </c>
      <c r="AF12" s="19"/>
      <c r="AG12" s="19">
        <f t="shared" si="10"/>
        <v>8029.9</v>
      </c>
      <c r="AH12" s="57"/>
      <c r="AI12" s="1"/>
      <c r="AJ12" s="1"/>
      <c r="AK12" s="1"/>
      <c r="AL12" s="1"/>
      <c r="AM12" s="1"/>
      <c r="AN12" s="58"/>
    </row>
    <row r="13" spans="1:40" s="2" customFormat="1" ht="17.100000000000001" customHeight="1">
      <c r="A13" s="5" t="s">
        <v>9</v>
      </c>
      <c r="B13" s="4">
        <v>1</v>
      </c>
      <c r="C13" s="4">
        <v>15</v>
      </c>
      <c r="D13" s="50">
        <v>17303</v>
      </c>
      <c r="E13" s="50">
        <v>18109.400000000001</v>
      </c>
      <c r="F13" s="51">
        <f t="shared" si="1"/>
        <v>1.0466046350343872</v>
      </c>
      <c r="G13" s="4">
        <v>15</v>
      </c>
      <c r="H13" s="4">
        <v>382</v>
      </c>
      <c r="I13" s="4">
        <v>382</v>
      </c>
      <c r="J13" s="51">
        <f t="shared" si="2"/>
        <v>1</v>
      </c>
      <c r="K13" s="4">
        <v>20</v>
      </c>
      <c r="L13" s="50">
        <v>5.9</v>
      </c>
      <c r="M13" s="50">
        <v>5.9</v>
      </c>
      <c r="N13" s="51">
        <f t="shared" si="3"/>
        <v>1</v>
      </c>
      <c r="O13" s="4">
        <v>15</v>
      </c>
      <c r="P13" s="24">
        <f t="shared" si="4"/>
        <v>1.0107549157771663</v>
      </c>
      <c r="Q13" s="46">
        <v>133175</v>
      </c>
      <c r="R13" s="19">
        <f t="shared" si="5"/>
        <v>72640.899999999994</v>
      </c>
      <c r="S13" s="19">
        <f t="shared" si="6"/>
        <v>73422.100000000006</v>
      </c>
      <c r="T13" s="19">
        <f t="shared" si="7"/>
        <v>781.20000000001164</v>
      </c>
      <c r="U13" s="19">
        <v>12106.8</v>
      </c>
      <c r="V13" s="19">
        <v>12106.8</v>
      </c>
      <c r="W13" s="19">
        <v>12450</v>
      </c>
      <c r="X13" s="19">
        <v>12080.4</v>
      </c>
      <c r="Y13" s="19">
        <v>12185.9</v>
      </c>
      <c r="Z13" s="19"/>
      <c r="AA13" s="19">
        <f t="shared" si="8"/>
        <v>12492.200000000004</v>
      </c>
      <c r="AB13" s="60"/>
      <c r="AC13" s="42"/>
      <c r="AD13" s="41"/>
      <c r="AE13" s="19">
        <f t="shared" si="9"/>
        <v>12492.200000000004</v>
      </c>
      <c r="AF13" s="19"/>
      <c r="AG13" s="19">
        <f t="shared" si="10"/>
        <v>12492.2</v>
      </c>
      <c r="AH13" s="57"/>
      <c r="AI13" s="1"/>
      <c r="AJ13" s="1"/>
      <c r="AK13" s="1"/>
      <c r="AL13" s="1"/>
      <c r="AM13" s="1"/>
      <c r="AN13" s="58"/>
    </row>
    <row r="14" spans="1:40" s="2" customFormat="1" ht="17.100000000000001" customHeight="1">
      <c r="A14" s="5" t="s">
        <v>10</v>
      </c>
      <c r="B14" s="4">
        <v>1</v>
      </c>
      <c r="C14" s="4">
        <v>15</v>
      </c>
      <c r="D14" s="50">
        <v>18068</v>
      </c>
      <c r="E14" s="50">
        <v>17477.2</v>
      </c>
      <c r="F14" s="51">
        <f t="shared" si="1"/>
        <v>0.96730130617666599</v>
      </c>
      <c r="G14" s="4">
        <v>15</v>
      </c>
      <c r="H14" s="4">
        <v>382</v>
      </c>
      <c r="I14" s="4">
        <v>430</v>
      </c>
      <c r="J14" s="51">
        <f t="shared" si="2"/>
        <v>1.12565445026178</v>
      </c>
      <c r="K14" s="4">
        <v>20</v>
      </c>
      <c r="L14" s="50">
        <v>69.5</v>
      </c>
      <c r="M14" s="50">
        <v>33.799999999999997</v>
      </c>
      <c r="N14" s="51">
        <f t="shared" si="3"/>
        <v>1.2856213017751479</v>
      </c>
      <c r="O14" s="4">
        <v>15</v>
      </c>
      <c r="P14" s="24">
        <f t="shared" si="4"/>
        <v>1.0970296634540433</v>
      </c>
      <c r="Q14" s="46">
        <v>50328</v>
      </c>
      <c r="R14" s="19">
        <f t="shared" si="5"/>
        <v>27451.599999999999</v>
      </c>
      <c r="S14" s="19">
        <f t="shared" si="6"/>
        <v>30115.200000000001</v>
      </c>
      <c r="T14" s="19">
        <f t="shared" si="7"/>
        <v>2663.6000000000022</v>
      </c>
      <c r="U14" s="19">
        <v>4575.3</v>
      </c>
      <c r="V14" s="19">
        <v>4575.2</v>
      </c>
      <c r="W14" s="19">
        <v>5321.4</v>
      </c>
      <c r="X14" s="19">
        <v>5225.5</v>
      </c>
      <c r="Y14" s="19">
        <v>4924.3</v>
      </c>
      <c r="Z14" s="19"/>
      <c r="AA14" s="19">
        <f t="shared" si="8"/>
        <v>5493.5</v>
      </c>
      <c r="AB14" s="19"/>
      <c r="AC14" s="41"/>
      <c r="AD14" s="41"/>
      <c r="AE14" s="19">
        <f t="shared" si="9"/>
        <v>5493.5</v>
      </c>
      <c r="AF14" s="19"/>
      <c r="AG14" s="19">
        <f t="shared" si="10"/>
        <v>5493.5</v>
      </c>
      <c r="AH14" s="57"/>
      <c r="AI14" s="1"/>
      <c r="AJ14" s="1"/>
      <c r="AK14" s="1"/>
      <c r="AL14" s="1"/>
      <c r="AM14" s="1"/>
      <c r="AN14" s="58"/>
    </row>
    <row r="15" spans="1:40" s="2" customFormat="1" ht="16.5" customHeight="1">
      <c r="A15" s="5" t="s">
        <v>11</v>
      </c>
      <c r="B15" s="4">
        <v>1</v>
      </c>
      <c r="C15" s="4">
        <v>15</v>
      </c>
      <c r="D15" s="50">
        <v>17166</v>
      </c>
      <c r="E15" s="50">
        <v>17541</v>
      </c>
      <c r="F15" s="51">
        <f t="shared" si="1"/>
        <v>1.0218455085634393</v>
      </c>
      <c r="G15" s="4">
        <v>15</v>
      </c>
      <c r="H15" s="4">
        <v>382</v>
      </c>
      <c r="I15" s="4">
        <v>18</v>
      </c>
      <c r="J15" s="51">
        <f t="shared" si="2"/>
        <v>4.712041884816754E-2</v>
      </c>
      <c r="K15" s="4">
        <v>20</v>
      </c>
      <c r="L15" s="50">
        <v>219.8</v>
      </c>
      <c r="M15" s="50">
        <v>241.7</v>
      </c>
      <c r="N15" s="51">
        <f t="shared" si="3"/>
        <v>0.90939180802647923</v>
      </c>
      <c r="O15" s="4">
        <v>15</v>
      </c>
      <c r="P15" s="24">
        <f t="shared" si="4"/>
        <v>0.69093797116634048</v>
      </c>
      <c r="Q15" s="46">
        <v>104333</v>
      </c>
      <c r="R15" s="19">
        <f t="shared" si="5"/>
        <v>56908.9</v>
      </c>
      <c r="S15" s="19">
        <f t="shared" si="6"/>
        <v>39320.5</v>
      </c>
      <c r="T15" s="19">
        <f t="shared" si="7"/>
        <v>-17588.400000000001</v>
      </c>
      <c r="U15" s="19">
        <v>9484.7999999999993</v>
      </c>
      <c r="V15" s="19">
        <v>9484.7999999999993</v>
      </c>
      <c r="W15" s="19">
        <v>6166.5</v>
      </c>
      <c r="X15" s="19">
        <v>0</v>
      </c>
      <c r="Y15" s="19">
        <v>4554.6000000000004</v>
      </c>
      <c r="Z15" s="19"/>
      <c r="AA15" s="19">
        <f t="shared" si="8"/>
        <v>9629.8000000000029</v>
      </c>
      <c r="AB15" s="60"/>
      <c r="AC15" s="41"/>
      <c r="AD15" s="41"/>
      <c r="AE15" s="19">
        <f t="shared" si="9"/>
        <v>9629.8000000000029</v>
      </c>
      <c r="AF15" s="19"/>
      <c r="AG15" s="19">
        <f t="shared" si="10"/>
        <v>9629.7999999999993</v>
      </c>
      <c r="AH15" s="57"/>
      <c r="AI15" s="1"/>
      <c r="AJ15" s="1"/>
      <c r="AK15" s="1"/>
      <c r="AL15" s="1"/>
      <c r="AM15" s="1"/>
      <c r="AN15" s="58"/>
    </row>
    <row r="16" spans="1:40" s="2" customFormat="1" ht="17.100000000000001" customHeight="1">
      <c r="A16" s="34" t="s">
        <v>12</v>
      </c>
      <c r="B16" s="4">
        <v>1</v>
      </c>
      <c r="C16" s="4">
        <v>15</v>
      </c>
      <c r="D16" s="50">
        <v>6377</v>
      </c>
      <c r="E16" s="50">
        <v>6051.7</v>
      </c>
      <c r="F16" s="51">
        <f t="shared" si="1"/>
        <v>0.94898855261094561</v>
      </c>
      <c r="G16" s="4">
        <v>15</v>
      </c>
      <c r="H16" s="4">
        <v>255</v>
      </c>
      <c r="I16" s="4">
        <v>310</v>
      </c>
      <c r="J16" s="51">
        <f t="shared" si="2"/>
        <v>1.2015686274509803</v>
      </c>
      <c r="K16" s="4">
        <v>20</v>
      </c>
      <c r="L16" s="50">
        <v>98.5</v>
      </c>
      <c r="M16" s="50">
        <v>73.3</v>
      </c>
      <c r="N16" s="51">
        <f t="shared" si="3"/>
        <v>1.2143792633015007</v>
      </c>
      <c r="O16" s="4">
        <v>15</v>
      </c>
      <c r="P16" s="24">
        <f t="shared" si="4"/>
        <v>1.0997213813493278</v>
      </c>
      <c r="Q16" s="46">
        <v>76095</v>
      </c>
      <c r="R16" s="19">
        <f t="shared" si="5"/>
        <v>41506.400000000001</v>
      </c>
      <c r="S16" s="19">
        <f t="shared" si="6"/>
        <v>45645.5</v>
      </c>
      <c r="T16" s="19">
        <f t="shared" si="7"/>
        <v>4139.0999999999985</v>
      </c>
      <c r="U16" s="19">
        <v>6917.7</v>
      </c>
      <c r="V16" s="19">
        <v>6917.8</v>
      </c>
      <c r="W16" s="19">
        <v>7575.3</v>
      </c>
      <c r="X16" s="19">
        <v>8583.2999999999993</v>
      </c>
      <c r="Y16" s="19">
        <v>7498.5</v>
      </c>
      <c r="Z16" s="19"/>
      <c r="AA16" s="19">
        <f t="shared" si="8"/>
        <v>8152.9000000000015</v>
      </c>
      <c r="AB16" s="60"/>
      <c r="AC16" s="41"/>
      <c r="AD16" s="41"/>
      <c r="AE16" s="19">
        <f t="shared" si="9"/>
        <v>8152.9000000000015</v>
      </c>
      <c r="AF16" s="19"/>
      <c r="AG16" s="19">
        <f t="shared" si="10"/>
        <v>8152.9</v>
      </c>
      <c r="AH16" s="57"/>
      <c r="AI16" s="1"/>
      <c r="AJ16" s="1"/>
      <c r="AK16" s="1"/>
      <c r="AL16" s="1"/>
      <c r="AM16" s="1"/>
      <c r="AN16" s="58"/>
    </row>
    <row r="17" spans="1:40" s="2" customFormat="1" ht="17.100000000000001" customHeight="1">
      <c r="A17" s="5" t="s">
        <v>13</v>
      </c>
      <c r="B17" s="4">
        <v>1</v>
      </c>
      <c r="C17" s="4">
        <v>15</v>
      </c>
      <c r="D17" s="50">
        <v>19871</v>
      </c>
      <c r="E17" s="50">
        <v>19677.2</v>
      </c>
      <c r="F17" s="51">
        <f t="shared" si="1"/>
        <v>0.99024709375471798</v>
      </c>
      <c r="G17" s="4">
        <v>15</v>
      </c>
      <c r="H17" s="4">
        <v>382</v>
      </c>
      <c r="I17" s="4">
        <v>490</v>
      </c>
      <c r="J17" s="51">
        <f t="shared" si="2"/>
        <v>1.2082722513089004</v>
      </c>
      <c r="K17" s="4">
        <v>20</v>
      </c>
      <c r="L17" s="50">
        <v>22.3</v>
      </c>
      <c r="M17" s="50">
        <v>21.6</v>
      </c>
      <c r="N17" s="51">
        <f t="shared" si="3"/>
        <v>1.0324074074074074</v>
      </c>
      <c r="O17" s="4">
        <v>15</v>
      </c>
      <c r="P17" s="24">
        <f t="shared" si="4"/>
        <v>1.0693117314401521</v>
      </c>
      <c r="Q17" s="46">
        <v>138515</v>
      </c>
      <c r="R17" s="19">
        <f t="shared" si="5"/>
        <v>75553.600000000006</v>
      </c>
      <c r="S17" s="19">
        <f t="shared" si="6"/>
        <v>80790.399999999994</v>
      </c>
      <c r="T17" s="19">
        <f t="shared" si="7"/>
        <v>5236.7999999999884</v>
      </c>
      <c r="U17" s="19">
        <v>12592.3</v>
      </c>
      <c r="V17" s="19">
        <v>12592.2</v>
      </c>
      <c r="W17" s="19">
        <v>16483.599999999999</v>
      </c>
      <c r="X17" s="19">
        <v>15520.8</v>
      </c>
      <c r="Y17" s="19">
        <v>14297.3</v>
      </c>
      <c r="Z17" s="19"/>
      <c r="AA17" s="19">
        <f t="shared" si="8"/>
        <v>9304.1999999999971</v>
      </c>
      <c r="AB17" s="60"/>
      <c r="AC17" s="41"/>
      <c r="AD17" s="41"/>
      <c r="AE17" s="19">
        <f t="shared" si="9"/>
        <v>9304.1999999999971</v>
      </c>
      <c r="AF17" s="19"/>
      <c r="AG17" s="19">
        <f t="shared" si="10"/>
        <v>9304.2000000000007</v>
      </c>
      <c r="AH17" s="57"/>
      <c r="AI17" s="1"/>
      <c r="AJ17" s="1"/>
      <c r="AK17" s="1"/>
      <c r="AL17" s="1"/>
      <c r="AM17" s="1"/>
      <c r="AN17" s="58"/>
    </row>
    <row r="18" spans="1:40" s="2" customFormat="1" ht="17.100000000000001" customHeight="1">
      <c r="A18" s="5" t="s">
        <v>14</v>
      </c>
      <c r="B18" s="4">
        <v>1</v>
      </c>
      <c r="C18" s="4">
        <v>15</v>
      </c>
      <c r="D18" s="50">
        <v>8663</v>
      </c>
      <c r="E18" s="50">
        <v>8289.4700000000012</v>
      </c>
      <c r="F18" s="51">
        <f t="shared" si="1"/>
        <v>0.95688214244488068</v>
      </c>
      <c r="G18" s="4">
        <v>15</v>
      </c>
      <c r="H18" s="4">
        <v>255</v>
      </c>
      <c r="I18" s="4">
        <v>310</v>
      </c>
      <c r="J18" s="51">
        <f t="shared" si="2"/>
        <v>1.2015686274509803</v>
      </c>
      <c r="K18" s="4">
        <v>20</v>
      </c>
      <c r="L18" s="50">
        <v>15</v>
      </c>
      <c r="M18" s="50">
        <v>18.899999999999999</v>
      </c>
      <c r="N18" s="51">
        <f t="shared" si="3"/>
        <v>0.79365079365079372</v>
      </c>
      <c r="O18" s="4">
        <v>15</v>
      </c>
      <c r="P18" s="24">
        <f t="shared" si="4"/>
        <v>1.0044517936993034</v>
      </c>
      <c r="Q18" s="46">
        <v>63273</v>
      </c>
      <c r="R18" s="19">
        <f t="shared" si="5"/>
        <v>34512.5</v>
      </c>
      <c r="S18" s="19">
        <f t="shared" si="6"/>
        <v>34666.1</v>
      </c>
      <c r="T18" s="19">
        <f t="shared" si="7"/>
        <v>153.59999999999854</v>
      </c>
      <c r="U18" s="19">
        <v>5752.1</v>
      </c>
      <c r="V18" s="19">
        <v>5752.1</v>
      </c>
      <c r="W18" s="19">
        <v>6268.7</v>
      </c>
      <c r="X18" s="19">
        <v>7139.4</v>
      </c>
      <c r="Y18" s="19">
        <v>6228</v>
      </c>
      <c r="Z18" s="19"/>
      <c r="AA18" s="19">
        <f t="shared" si="8"/>
        <v>3525.7999999999956</v>
      </c>
      <c r="AB18" s="60"/>
      <c r="AC18" s="41"/>
      <c r="AD18" s="41"/>
      <c r="AE18" s="19">
        <f>IF(OR(AB18="+",AC18="+",AD18="+"),0,AA18)</f>
        <v>3525.7999999999956</v>
      </c>
      <c r="AF18" s="19"/>
      <c r="AG18" s="19">
        <f t="shared" si="10"/>
        <v>3525.8</v>
      </c>
      <c r="AH18" s="57"/>
      <c r="AI18" s="1"/>
      <c r="AJ18" s="1"/>
      <c r="AK18" s="1"/>
      <c r="AL18" s="1"/>
      <c r="AM18" s="1"/>
      <c r="AN18" s="58"/>
    </row>
    <row r="19" spans="1:40" s="2" customFormat="1" ht="17.100000000000001" customHeight="1">
      <c r="A19" s="7" t="s">
        <v>17</v>
      </c>
      <c r="B19" s="9"/>
      <c r="C19" s="9"/>
      <c r="D19" s="18">
        <f>SUM(D20:D46)</f>
        <v>142513</v>
      </c>
      <c r="E19" s="18">
        <f>SUM(E20:E46)</f>
        <v>147413.89999999997</v>
      </c>
      <c r="F19" s="52">
        <f>IF(E19/D19&gt;1.2,IF((E19/D19-1.2)*0.1+1.2&gt;1.3,1.3,(E19/D19-1.2)*0.1+1.2),E19/D19)</f>
        <v>1.0343891434465626</v>
      </c>
      <c r="G19" s="9"/>
      <c r="H19" s="18">
        <f>SUM(H20:H46)</f>
        <v>2004</v>
      </c>
      <c r="I19" s="18">
        <f>SUM(I20:I46)</f>
        <v>3463</v>
      </c>
      <c r="J19" s="52">
        <f>IF(I19/H19&gt;1.2,IF((I19/H19-1.2)*0.1+1.2&gt;1.3,1.3,(I19/H19-1.2)*0.1+1.2),I19/H19)</f>
        <v>1.2528043912175648</v>
      </c>
      <c r="K19" s="9"/>
      <c r="L19" s="18">
        <f>SUM(L20:L46)</f>
        <v>853.39999999999986</v>
      </c>
      <c r="M19" s="18">
        <f>SUM(M20:M46)</f>
        <v>754.59999999999991</v>
      </c>
      <c r="N19" s="52">
        <f>IF(L19/M19&gt;1.2,IF((L19/M19-1.2)*0.1+1.2&gt;1.3,1.3,(L19/M19-1.2)*0.1+1.2),L19/M19)</f>
        <v>1.1309302941956003</v>
      </c>
      <c r="O19" s="9"/>
      <c r="P19" s="10"/>
      <c r="Q19" s="45">
        <f>SUM(Q20:Q46)</f>
        <v>1595136</v>
      </c>
      <c r="R19" s="18">
        <f>SUM(R20:R46)</f>
        <v>870074.40000000026</v>
      </c>
      <c r="S19" s="18">
        <f>SUM(S20:S46)</f>
        <v>944631.19999999984</v>
      </c>
      <c r="T19" s="18">
        <f>SUM(T20:T46)</f>
        <v>74556.799999999988</v>
      </c>
      <c r="U19" s="18">
        <f t="shared" ref="U19:AA19" si="11">SUM(U20:U46)</f>
        <v>142284.70000000001</v>
      </c>
      <c r="V19" s="18">
        <f t="shared" si="11"/>
        <v>142285.5</v>
      </c>
      <c r="W19" s="18">
        <f t="shared" si="11"/>
        <v>150748.6</v>
      </c>
      <c r="X19" s="18">
        <f t="shared" si="11"/>
        <v>160396.69999999998</v>
      </c>
      <c r="Y19" s="18">
        <f t="shared" si="11"/>
        <v>162100.9</v>
      </c>
      <c r="Z19" s="18">
        <f t="shared" si="11"/>
        <v>5756</v>
      </c>
      <c r="AA19" s="18">
        <f t="shared" si="11"/>
        <v>181058.80000000002</v>
      </c>
      <c r="AB19" s="18"/>
      <c r="AC19" s="18"/>
      <c r="AD19" s="18"/>
      <c r="AE19" s="18">
        <f>SUM(AE20:AE46)</f>
        <v>181058.80000000002</v>
      </c>
      <c r="AF19" s="18">
        <f>SUM(AF20:AF46)</f>
        <v>1208.7</v>
      </c>
      <c r="AG19" s="18">
        <f>SUM(AG20:AG46)</f>
        <v>179850.10000000003</v>
      </c>
      <c r="AH19" s="57"/>
      <c r="AI19" s="1"/>
      <c r="AJ19" s="1"/>
      <c r="AK19" s="1"/>
      <c r="AL19" s="1"/>
      <c r="AM19" s="1"/>
      <c r="AN19" s="58"/>
    </row>
    <row r="20" spans="1:40" s="2" customFormat="1" ht="17.100000000000001" customHeight="1">
      <c r="A20" s="6" t="s">
        <v>0</v>
      </c>
      <c r="B20" s="4">
        <v>1</v>
      </c>
      <c r="C20" s="4">
        <v>10</v>
      </c>
      <c r="D20" s="19">
        <v>1144</v>
      </c>
      <c r="E20" s="19">
        <v>1159.5</v>
      </c>
      <c r="F20" s="51">
        <f t="shared" si="1"/>
        <v>1.013548951048951</v>
      </c>
      <c r="G20" s="4">
        <v>10</v>
      </c>
      <c r="H20" s="4">
        <v>53</v>
      </c>
      <c r="I20" s="4">
        <v>110</v>
      </c>
      <c r="J20" s="51">
        <f t="shared" si="2"/>
        <v>1.2875471698113208</v>
      </c>
      <c r="K20" s="4">
        <v>15</v>
      </c>
      <c r="L20" s="50">
        <v>3.3</v>
      </c>
      <c r="M20" s="50">
        <v>1.9</v>
      </c>
      <c r="N20" s="51">
        <f t="shared" si="3"/>
        <v>1.2536842105263157</v>
      </c>
      <c r="O20" s="4">
        <v>15</v>
      </c>
      <c r="P20" s="24">
        <f t="shared" si="4"/>
        <v>1.1650792043110811</v>
      </c>
      <c r="Q20" s="46">
        <v>43567</v>
      </c>
      <c r="R20" s="19">
        <f t="shared" si="5"/>
        <v>23763.8</v>
      </c>
      <c r="S20" s="19">
        <f t="shared" si="6"/>
        <v>27686.7</v>
      </c>
      <c r="T20" s="19">
        <f t="shared" si="7"/>
        <v>3922.9000000000015</v>
      </c>
      <c r="U20" s="19">
        <v>3960.6</v>
      </c>
      <c r="V20" s="19">
        <v>3960.7</v>
      </c>
      <c r="W20" s="19">
        <v>4771.2</v>
      </c>
      <c r="X20" s="19">
        <v>5273.2</v>
      </c>
      <c r="Y20" s="19">
        <v>4491.5</v>
      </c>
      <c r="Z20" s="19"/>
      <c r="AA20" s="19">
        <f t="shared" si="8"/>
        <v>5229.5</v>
      </c>
      <c r="AB20" s="60"/>
      <c r="AC20" s="42"/>
      <c r="AD20" s="41"/>
      <c r="AE20" s="19">
        <f t="shared" ref="AE20:AE45" si="12">IF(OR(AB20="+",AC20="+",AD20="+"),0,AA20)</f>
        <v>5229.5</v>
      </c>
      <c r="AF20" s="19"/>
      <c r="AG20" s="19">
        <f t="shared" si="10"/>
        <v>5229.5</v>
      </c>
      <c r="AH20" s="57"/>
      <c r="AI20" s="1"/>
      <c r="AJ20" s="1"/>
      <c r="AK20" s="1"/>
      <c r="AL20" s="1"/>
      <c r="AM20" s="1"/>
      <c r="AN20" s="58"/>
    </row>
    <row r="21" spans="1:40" s="2" customFormat="1" ht="17.100000000000001" customHeight="1">
      <c r="A21" s="6" t="s">
        <v>18</v>
      </c>
      <c r="B21" s="4">
        <v>1</v>
      </c>
      <c r="C21" s="4">
        <v>10</v>
      </c>
      <c r="D21" s="19">
        <v>9330</v>
      </c>
      <c r="E21" s="19">
        <v>9700.4</v>
      </c>
      <c r="F21" s="51">
        <f t="shared" si="1"/>
        <v>1.0396998928188639</v>
      </c>
      <c r="G21" s="4">
        <v>10</v>
      </c>
      <c r="H21" s="4">
        <v>70</v>
      </c>
      <c r="I21" s="4">
        <v>74</v>
      </c>
      <c r="J21" s="51">
        <f t="shared" si="2"/>
        <v>1.0571428571428572</v>
      </c>
      <c r="K21" s="4">
        <v>15</v>
      </c>
      <c r="L21" s="50">
        <v>5.4</v>
      </c>
      <c r="M21" s="50">
        <v>4.0999999999999996</v>
      </c>
      <c r="N21" s="51">
        <f t="shared" si="3"/>
        <v>1.2117073170731707</v>
      </c>
      <c r="O21" s="4">
        <v>15</v>
      </c>
      <c r="P21" s="24">
        <f t="shared" si="4"/>
        <v>1.0885950308285812</v>
      </c>
      <c r="Q21" s="46">
        <v>57195</v>
      </c>
      <c r="R21" s="19">
        <f t="shared" si="5"/>
        <v>31197.3</v>
      </c>
      <c r="S21" s="19">
        <f t="shared" si="6"/>
        <v>33961.199999999997</v>
      </c>
      <c r="T21" s="19">
        <f t="shared" si="7"/>
        <v>2763.8999999999978</v>
      </c>
      <c r="U21" s="19">
        <v>5199.5</v>
      </c>
      <c r="V21" s="19">
        <v>5199.6000000000004</v>
      </c>
      <c r="W21" s="19">
        <v>6769.9</v>
      </c>
      <c r="X21" s="19">
        <v>5451.4</v>
      </c>
      <c r="Y21" s="19">
        <v>5655.1</v>
      </c>
      <c r="Z21" s="19"/>
      <c r="AA21" s="19">
        <f t="shared" si="8"/>
        <v>5685.6999999999971</v>
      </c>
      <c r="AB21" s="60"/>
      <c r="AC21" s="41"/>
      <c r="AD21" s="41"/>
      <c r="AE21" s="19">
        <f t="shared" si="12"/>
        <v>5685.6999999999971</v>
      </c>
      <c r="AF21" s="19"/>
      <c r="AG21" s="19">
        <f t="shared" si="10"/>
        <v>5685.7</v>
      </c>
      <c r="AH21" s="57"/>
      <c r="AI21" s="1"/>
      <c r="AJ21" s="1"/>
      <c r="AK21" s="1"/>
      <c r="AL21" s="1"/>
      <c r="AM21" s="1"/>
      <c r="AN21" s="58"/>
    </row>
    <row r="22" spans="1:40" s="2" customFormat="1" ht="17.100000000000001" customHeight="1">
      <c r="A22" s="6" t="s">
        <v>19</v>
      </c>
      <c r="B22" s="4">
        <v>1</v>
      </c>
      <c r="C22" s="4">
        <v>10</v>
      </c>
      <c r="D22" s="19">
        <v>2863</v>
      </c>
      <c r="E22" s="19">
        <v>2766.4</v>
      </c>
      <c r="F22" s="51">
        <f t="shared" si="1"/>
        <v>0.96625916870415651</v>
      </c>
      <c r="G22" s="4">
        <v>10</v>
      </c>
      <c r="H22" s="4">
        <v>70</v>
      </c>
      <c r="I22" s="4">
        <v>70</v>
      </c>
      <c r="J22" s="51">
        <f t="shared" si="2"/>
        <v>1</v>
      </c>
      <c r="K22" s="4">
        <v>15</v>
      </c>
      <c r="L22" s="50">
        <v>10.6</v>
      </c>
      <c r="M22" s="50">
        <v>3.1</v>
      </c>
      <c r="N22" s="51">
        <f t="shared" si="3"/>
        <v>1.3</v>
      </c>
      <c r="O22" s="4">
        <v>15</v>
      </c>
      <c r="P22" s="24">
        <f t="shared" si="4"/>
        <v>1.0832518337408314</v>
      </c>
      <c r="Q22" s="46">
        <v>43850</v>
      </c>
      <c r="R22" s="19">
        <f t="shared" si="5"/>
        <v>23918.2</v>
      </c>
      <c r="S22" s="19">
        <f t="shared" si="6"/>
        <v>25909.4</v>
      </c>
      <c r="T22" s="19">
        <f t="shared" si="7"/>
        <v>1991.2000000000007</v>
      </c>
      <c r="U22" s="19">
        <v>3986.4</v>
      </c>
      <c r="V22" s="19">
        <v>3986.3</v>
      </c>
      <c r="W22" s="19">
        <v>4616.6000000000004</v>
      </c>
      <c r="X22" s="19">
        <v>3649</v>
      </c>
      <c r="Y22" s="19">
        <v>4133.3</v>
      </c>
      <c r="Z22" s="19">
        <v>295.39999999999998</v>
      </c>
      <c r="AA22" s="19">
        <f t="shared" si="8"/>
        <v>5242.3999999999978</v>
      </c>
      <c r="AB22" s="60"/>
      <c r="AC22" s="41"/>
      <c r="AD22" s="41"/>
      <c r="AE22" s="19">
        <f t="shared" si="12"/>
        <v>5242.3999999999978</v>
      </c>
      <c r="AF22" s="19"/>
      <c r="AG22" s="19">
        <f t="shared" si="10"/>
        <v>5242.3999999999996</v>
      </c>
      <c r="AH22" s="57"/>
      <c r="AI22" s="1"/>
      <c r="AJ22" s="1"/>
      <c r="AK22" s="1"/>
      <c r="AL22" s="1"/>
      <c r="AM22" s="1"/>
      <c r="AN22" s="58"/>
    </row>
    <row r="23" spans="1:40" s="2" customFormat="1" ht="17.100000000000001" customHeight="1">
      <c r="A23" s="6" t="s">
        <v>20</v>
      </c>
      <c r="B23" s="4">
        <v>1</v>
      </c>
      <c r="C23" s="4">
        <v>10</v>
      </c>
      <c r="D23" s="19">
        <v>2542</v>
      </c>
      <c r="E23" s="19">
        <v>2501.1000000000004</v>
      </c>
      <c r="F23" s="51">
        <f t="shared" si="1"/>
        <v>0.98391030684500402</v>
      </c>
      <c r="G23" s="4">
        <v>10</v>
      </c>
      <c r="H23" s="4">
        <v>53</v>
      </c>
      <c r="I23" s="4">
        <v>20</v>
      </c>
      <c r="J23" s="51">
        <f t="shared" si="2"/>
        <v>0.37735849056603776</v>
      </c>
      <c r="K23" s="4">
        <v>15</v>
      </c>
      <c r="L23" s="50">
        <v>14.5</v>
      </c>
      <c r="M23" s="50">
        <v>6.4</v>
      </c>
      <c r="N23" s="51">
        <f t="shared" si="3"/>
        <v>1.3</v>
      </c>
      <c r="O23" s="4">
        <v>15</v>
      </c>
      <c r="P23" s="24">
        <f t="shared" si="4"/>
        <v>0.89998960853881216</v>
      </c>
      <c r="Q23" s="46">
        <v>48463</v>
      </c>
      <c r="R23" s="19">
        <f t="shared" si="5"/>
        <v>26434.400000000001</v>
      </c>
      <c r="S23" s="19">
        <f t="shared" si="6"/>
        <v>23790.7</v>
      </c>
      <c r="T23" s="19">
        <f t="shared" si="7"/>
        <v>-2643.7000000000007</v>
      </c>
      <c r="U23" s="19">
        <v>4405.7</v>
      </c>
      <c r="V23" s="19">
        <v>4405.8</v>
      </c>
      <c r="W23" s="19">
        <v>5868.8</v>
      </c>
      <c r="X23" s="19">
        <v>535</v>
      </c>
      <c r="Y23" s="19">
        <v>3924.1</v>
      </c>
      <c r="Z23" s="19">
        <v>481.3</v>
      </c>
      <c r="AA23" s="19">
        <f t="shared" si="8"/>
        <v>4170.0000000000036</v>
      </c>
      <c r="AB23" s="60"/>
      <c r="AC23" s="41"/>
      <c r="AD23" s="41"/>
      <c r="AE23" s="19">
        <f t="shared" si="12"/>
        <v>4170.0000000000036</v>
      </c>
      <c r="AF23" s="19"/>
      <c r="AG23" s="19">
        <f t="shared" si="10"/>
        <v>4170</v>
      </c>
      <c r="AH23" s="57"/>
      <c r="AI23" s="1"/>
      <c r="AJ23" s="1"/>
      <c r="AK23" s="1"/>
      <c r="AL23" s="1"/>
      <c r="AM23" s="1"/>
      <c r="AN23" s="58"/>
    </row>
    <row r="24" spans="1:40" s="2" customFormat="1" ht="17.100000000000001" customHeight="1">
      <c r="A24" s="6" t="s">
        <v>21</v>
      </c>
      <c r="B24" s="4">
        <v>1</v>
      </c>
      <c r="C24" s="4">
        <v>10</v>
      </c>
      <c r="D24" s="19">
        <v>2010</v>
      </c>
      <c r="E24" s="19">
        <v>1990.3</v>
      </c>
      <c r="F24" s="51">
        <f t="shared" si="1"/>
        <v>0.99019900497512436</v>
      </c>
      <c r="G24" s="4">
        <v>10</v>
      </c>
      <c r="H24" s="4">
        <v>53</v>
      </c>
      <c r="I24" s="4">
        <v>67</v>
      </c>
      <c r="J24" s="51">
        <f t="shared" si="2"/>
        <v>1.2064150943396226</v>
      </c>
      <c r="K24" s="4">
        <v>15</v>
      </c>
      <c r="L24" s="50">
        <v>4.4000000000000004</v>
      </c>
      <c r="M24" s="50">
        <v>3.4</v>
      </c>
      <c r="N24" s="51">
        <f t="shared" si="3"/>
        <v>1.2094117647058824</v>
      </c>
      <c r="O24" s="4">
        <v>15</v>
      </c>
      <c r="P24" s="24">
        <f t="shared" si="4"/>
        <v>1.1227878587086764</v>
      </c>
      <c r="Q24" s="46">
        <v>63701</v>
      </c>
      <c r="R24" s="19">
        <f t="shared" si="5"/>
        <v>34746</v>
      </c>
      <c r="S24" s="19">
        <f t="shared" si="6"/>
        <v>39012.400000000001</v>
      </c>
      <c r="T24" s="19">
        <f t="shared" si="7"/>
        <v>4266.4000000000015</v>
      </c>
      <c r="U24" s="19">
        <v>5791</v>
      </c>
      <c r="V24" s="19">
        <v>5791</v>
      </c>
      <c r="W24" s="19">
        <v>4235</v>
      </c>
      <c r="X24" s="19">
        <v>5881.4</v>
      </c>
      <c r="Y24" s="19">
        <v>4338.7</v>
      </c>
      <c r="Z24" s="19">
        <v>2895.6</v>
      </c>
      <c r="AA24" s="19">
        <f t="shared" si="8"/>
        <v>10079.700000000001</v>
      </c>
      <c r="AB24" s="60"/>
      <c r="AC24" s="41"/>
      <c r="AD24" s="41"/>
      <c r="AE24" s="19">
        <f t="shared" si="12"/>
        <v>10079.700000000001</v>
      </c>
      <c r="AF24" s="19">
        <f>MIN(AE24,1208.7)</f>
        <v>1208.7</v>
      </c>
      <c r="AG24" s="19">
        <f>ROUND(AE24-AF24,1)</f>
        <v>8871</v>
      </c>
      <c r="AH24" s="57"/>
      <c r="AI24" s="1"/>
      <c r="AJ24" s="1"/>
      <c r="AK24" s="1"/>
      <c r="AL24" s="1"/>
      <c r="AM24" s="1"/>
      <c r="AN24" s="58"/>
    </row>
    <row r="25" spans="1:40" s="2" customFormat="1" ht="17.100000000000001" customHeight="1">
      <c r="A25" s="6" t="s">
        <v>22</v>
      </c>
      <c r="B25" s="4">
        <v>1</v>
      </c>
      <c r="C25" s="4">
        <v>10</v>
      </c>
      <c r="D25" s="19">
        <v>3105</v>
      </c>
      <c r="E25" s="19">
        <v>3007.1000000000004</v>
      </c>
      <c r="F25" s="51">
        <f t="shared" si="1"/>
        <v>0.96847020933977468</v>
      </c>
      <c r="G25" s="4">
        <v>10</v>
      </c>
      <c r="H25" s="4">
        <v>70</v>
      </c>
      <c r="I25" s="4">
        <v>30</v>
      </c>
      <c r="J25" s="51">
        <f t="shared" si="2"/>
        <v>0.42857142857142855</v>
      </c>
      <c r="K25" s="4">
        <v>15</v>
      </c>
      <c r="L25" s="50">
        <v>7</v>
      </c>
      <c r="M25" s="50">
        <v>0</v>
      </c>
      <c r="N25" s="51">
        <f t="shared" si="3"/>
        <v>1.3</v>
      </c>
      <c r="O25" s="4">
        <v>15</v>
      </c>
      <c r="P25" s="24">
        <f t="shared" si="4"/>
        <v>0.91226547043938355</v>
      </c>
      <c r="Q25" s="46">
        <v>66305</v>
      </c>
      <c r="R25" s="19">
        <f t="shared" si="5"/>
        <v>36166.400000000001</v>
      </c>
      <c r="S25" s="19">
        <f t="shared" si="6"/>
        <v>32993.4</v>
      </c>
      <c r="T25" s="19">
        <f t="shared" si="7"/>
        <v>-3173</v>
      </c>
      <c r="U25" s="19">
        <v>6027.7</v>
      </c>
      <c r="V25" s="19">
        <v>6027.8</v>
      </c>
      <c r="W25" s="19">
        <v>7739.8</v>
      </c>
      <c r="X25" s="19">
        <v>1780.3</v>
      </c>
      <c r="Y25" s="19">
        <v>5393.8</v>
      </c>
      <c r="Z25" s="19"/>
      <c r="AA25" s="19">
        <f t="shared" si="8"/>
        <v>6024.0000000000036</v>
      </c>
      <c r="AB25" s="60"/>
      <c r="AC25" s="42"/>
      <c r="AD25" s="41"/>
      <c r="AE25" s="19">
        <f t="shared" si="12"/>
        <v>6024.0000000000036</v>
      </c>
      <c r="AF25" s="19"/>
      <c r="AG25" s="19">
        <f t="shared" si="10"/>
        <v>6024</v>
      </c>
      <c r="AH25" s="57"/>
      <c r="AI25" s="1"/>
      <c r="AJ25" s="1"/>
      <c r="AK25" s="1"/>
      <c r="AL25" s="1"/>
      <c r="AM25" s="1"/>
      <c r="AN25" s="58"/>
    </row>
    <row r="26" spans="1:40" s="2" customFormat="1" ht="17.100000000000001" customHeight="1">
      <c r="A26" s="6" t="s">
        <v>23</v>
      </c>
      <c r="B26" s="4">
        <v>1</v>
      </c>
      <c r="C26" s="4">
        <v>10</v>
      </c>
      <c r="D26" s="19">
        <v>22496</v>
      </c>
      <c r="E26" s="19">
        <v>24076.3</v>
      </c>
      <c r="F26" s="51">
        <f t="shared" si="1"/>
        <v>1.0702480440967284</v>
      </c>
      <c r="G26" s="4">
        <v>10</v>
      </c>
      <c r="H26" s="4">
        <v>123</v>
      </c>
      <c r="I26" s="4">
        <v>323</v>
      </c>
      <c r="J26" s="51">
        <f t="shared" si="2"/>
        <v>1.3</v>
      </c>
      <c r="K26" s="4">
        <v>15</v>
      </c>
      <c r="L26" s="50">
        <v>103.7</v>
      </c>
      <c r="M26" s="50">
        <v>109.3</v>
      </c>
      <c r="N26" s="51">
        <f t="shared" si="3"/>
        <v>0.94876486733760301</v>
      </c>
      <c r="O26" s="4">
        <v>15</v>
      </c>
      <c r="P26" s="24">
        <f t="shared" si="4"/>
        <v>1.0886790690206265</v>
      </c>
      <c r="Q26" s="46">
        <v>84413</v>
      </c>
      <c r="R26" s="19">
        <f t="shared" si="5"/>
        <v>46043.5</v>
      </c>
      <c r="S26" s="19">
        <f t="shared" si="6"/>
        <v>50126.6</v>
      </c>
      <c r="T26" s="19">
        <f t="shared" si="7"/>
        <v>4083.0999999999985</v>
      </c>
      <c r="U26" s="19">
        <v>7673.9</v>
      </c>
      <c r="V26" s="19">
        <v>7673.9</v>
      </c>
      <c r="W26" s="19">
        <v>9478.2000000000007</v>
      </c>
      <c r="X26" s="19">
        <v>10316.299999999999</v>
      </c>
      <c r="Y26" s="19">
        <v>8785.5</v>
      </c>
      <c r="Z26" s="19"/>
      <c r="AA26" s="19">
        <f t="shared" si="8"/>
        <v>6198.7999999999956</v>
      </c>
      <c r="AB26" s="19"/>
      <c r="AC26" s="41"/>
      <c r="AD26" s="41"/>
      <c r="AE26" s="19">
        <f t="shared" si="12"/>
        <v>6198.7999999999956</v>
      </c>
      <c r="AF26" s="19"/>
      <c r="AG26" s="19">
        <f t="shared" si="10"/>
        <v>6198.8</v>
      </c>
      <c r="AH26" s="57"/>
      <c r="AI26" s="1"/>
      <c r="AJ26" s="1"/>
      <c r="AK26" s="1"/>
      <c r="AL26" s="1"/>
      <c r="AM26" s="1"/>
      <c r="AN26" s="58"/>
    </row>
    <row r="27" spans="1:40" s="2" customFormat="1" ht="16.5" customHeight="1">
      <c r="A27" s="6" t="s">
        <v>24</v>
      </c>
      <c r="B27" s="4">
        <v>1</v>
      </c>
      <c r="C27" s="4">
        <v>10</v>
      </c>
      <c r="D27" s="19">
        <v>1120</v>
      </c>
      <c r="E27" s="19">
        <v>1235.3</v>
      </c>
      <c r="F27" s="51">
        <f t="shared" si="1"/>
        <v>1.1029464285714285</v>
      </c>
      <c r="G27" s="4">
        <v>10</v>
      </c>
      <c r="H27" s="4">
        <v>53</v>
      </c>
      <c r="I27" s="4">
        <v>83</v>
      </c>
      <c r="J27" s="51">
        <f t="shared" si="2"/>
        <v>1.2366037735849056</v>
      </c>
      <c r="K27" s="4">
        <v>15</v>
      </c>
      <c r="L27" s="50">
        <v>11.4</v>
      </c>
      <c r="M27" s="50">
        <v>10.4</v>
      </c>
      <c r="N27" s="51">
        <f t="shared" si="3"/>
        <v>1.0961538461538463</v>
      </c>
      <c r="O27" s="4">
        <v>15</v>
      </c>
      <c r="P27" s="24">
        <f t="shared" si="4"/>
        <v>1.1204165716359111</v>
      </c>
      <c r="Q27" s="46">
        <v>29195</v>
      </c>
      <c r="R27" s="19">
        <f t="shared" si="5"/>
        <v>15924.5</v>
      </c>
      <c r="S27" s="19">
        <f t="shared" si="6"/>
        <v>17842.099999999999</v>
      </c>
      <c r="T27" s="19">
        <f t="shared" si="7"/>
        <v>1917.5999999999985</v>
      </c>
      <c r="U27" s="19">
        <v>2654.1</v>
      </c>
      <c r="V27" s="19">
        <v>2654.1</v>
      </c>
      <c r="W27" s="19">
        <v>1574.4</v>
      </c>
      <c r="X27" s="19">
        <v>3058.8</v>
      </c>
      <c r="Y27" s="19">
        <v>2590.6</v>
      </c>
      <c r="Z27" s="19">
        <v>420.8</v>
      </c>
      <c r="AA27" s="19">
        <f t="shared" si="8"/>
        <v>4889.2999999999975</v>
      </c>
      <c r="AB27" s="60"/>
      <c r="AC27" s="42"/>
      <c r="AD27" s="41"/>
      <c r="AE27" s="19">
        <f t="shared" si="12"/>
        <v>4889.2999999999975</v>
      </c>
      <c r="AF27" s="19"/>
      <c r="AG27" s="19">
        <f t="shared" si="10"/>
        <v>4889.3</v>
      </c>
      <c r="AH27" s="57"/>
      <c r="AI27" s="1"/>
      <c r="AJ27" s="1"/>
      <c r="AK27" s="1"/>
      <c r="AL27" s="1"/>
      <c r="AM27" s="1"/>
      <c r="AN27" s="58"/>
    </row>
    <row r="28" spans="1:40" s="2" customFormat="1" ht="17.100000000000001" customHeight="1">
      <c r="A28" s="6" t="s">
        <v>25</v>
      </c>
      <c r="B28" s="4">
        <v>1</v>
      </c>
      <c r="C28" s="4">
        <v>10</v>
      </c>
      <c r="D28" s="19">
        <v>1639</v>
      </c>
      <c r="E28" s="19">
        <v>1424.6</v>
      </c>
      <c r="F28" s="51">
        <f t="shared" si="1"/>
        <v>0.86918852959121407</v>
      </c>
      <c r="G28" s="4">
        <v>10</v>
      </c>
      <c r="H28" s="4">
        <v>53</v>
      </c>
      <c r="I28" s="4">
        <v>93</v>
      </c>
      <c r="J28" s="51">
        <f t="shared" si="2"/>
        <v>1.2554716981132075</v>
      </c>
      <c r="K28" s="4">
        <v>15</v>
      </c>
      <c r="L28" s="50">
        <v>11.7</v>
      </c>
      <c r="M28" s="50">
        <v>5.2</v>
      </c>
      <c r="N28" s="51">
        <f t="shared" si="3"/>
        <v>1.3</v>
      </c>
      <c r="O28" s="4">
        <v>15</v>
      </c>
      <c r="P28" s="24">
        <f t="shared" si="4"/>
        <v>1.140479215352205</v>
      </c>
      <c r="Q28" s="46">
        <v>56282</v>
      </c>
      <c r="R28" s="19">
        <f t="shared" si="5"/>
        <v>30699.3</v>
      </c>
      <c r="S28" s="19">
        <f t="shared" si="6"/>
        <v>35011.9</v>
      </c>
      <c r="T28" s="19">
        <f t="shared" si="7"/>
        <v>4312.6000000000022</v>
      </c>
      <c r="U28" s="19">
        <v>5116.5</v>
      </c>
      <c r="V28" s="19">
        <v>5116.6000000000004</v>
      </c>
      <c r="W28" s="19">
        <v>4395.5</v>
      </c>
      <c r="X28" s="19">
        <v>6733.2</v>
      </c>
      <c r="Y28" s="19">
        <v>5340.4</v>
      </c>
      <c r="Z28" s="19"/>
      <c r="AA28" s="19">
        <f t="shared" si="8"/>
        <v>8309.7000000000044</v>
      </c>
      <c r="AB28" s="60"/>
      <c r="AC28" s="41"/>
      <c r="AD28" s="41"/>
      <c r="AE28" s="19">
        <f t="shared" si="12"/>
        <v>8309.7000000000044</v>
      </c>
      <c r="AF28" s="19"/>
      <c r="AG28" s="19">
        <f t="shared" si="10"/>
        <v>8309.7000000000007</v>
      </c>
      <c r="AH28" s="57"/>
      <c r="AI28" s="1"/>
      <c r="AJ28" s="1"/>
      <c r="AK28" s="1"/>
      <c r="AL28" s="1"/>
      <c r="AM28" s="1"/>
      <c r="AN28" s="58"/>
    </row>
    <row r="29" spans="1:40" s="2" customFormat="1" ht="17.100000000000001" customHeight="1">
      <c r="A29" s="6" t="s">
        <v>26</v>
      </c>
      <c r="B29" s="4">
        <v>1</v>
      </c>
      <c r="C29" s="4">
        <v>10</v>
      </c>
      <c r="D29" s="19">
        <v>1184</v>
      </c>
      <c r="E29" s="19">
        <v>1170</v>
      </c>
      <c r="F29" s="51">
        <f t="shared" si="1"/>
        <v>0.98817567567567566</v>
      </c>
      <c r="G29" s="4">
        <v>10</v>
      </c>
      <c r="H29" s="4">
        <v>53</v>
      </c>
      <c r="I29" s="4">
        <v>90</v>
      </c>
      <c r="J29" s="51">
        <f t="shared" si="2"/>
        <v>1.249811320754717</v>
      </c>
      <c r="K29" s="4">
        <v>15</v>
      </c>
      <c r="L29" s="50">
        <v>7.4</v>
      </c>
      <c r="M29" s="50">
        <v>2.7</v>
      </c>
      <c r="N29" s="51">
        <f t="shared" si="3"/>
        <v>1.3</v>
      </c>
      <c r="O29" s="4">
        <v>15</v>
      </c>
      <c r="P29" s="24">
        <f t="shared" si="4"/>
        <v>1.1625785313615504</v>
      </c>
      <c r="Q29" s="46">
        <v>33333</v>
      </c>
      <c r="R29" s="19">
        <f t="shared" si="5"/>
        <v>18181.599999999999</v>
      </c>
      <c r="S29" s="19">
        <f t="shared" si="6"/>
        <v>21137.5</v>
      </c>
      <c r="T29" s="19">
        <f t="shared" si="7"/>
        <v>2955.9000000000015</v>
      </c>
      <c r="U29" s="19">
        <v>3030.3</v>
      </c>
      <c r="V29" s="19">
        <v>3030.2</v>
      </c>
      <c r="W29" s="19">
        <v>4050.2</v>
      </c>
      <c r="X29" s="19">
        <v>3870.7</v>
      </c>
      <c r="Y29" s="19">
        <v>3495.3</v>
      </c>
      <c r="Z29" s="19"/>
      <c r="AA29" s="19">
        <f t="shared" si="8"/>
        <v>3660.7999999999993</v>
      </c>
      <c r="AB29" s="60"/>
      <c r="AC29" s="42"/>
      <c r="AD29" s="41"/>
      <c r="AE29" s="19">
        <f t="shared" si="12"/>
        <v>3660.7999999999993</v>
      </c>
      <c r="AF29" s="19"/>
      <c r="AG29" s="19">
        <f t="shared" si="10"/>
        <v>3660.8</v>
      </c>
      <c r="AH29" s="57"/>
      <c r="AI29" s="1"/>
      <c r="AJ29" s="1"/>
      <c r="AK29" s="1"/>
      <c r="AL29" s="1"/>
      <c r="AM29" s="1"/>
      <c r="AN29" s="58"/>
    </row>
    <row r="30" spans="1:40" s="2" customFormat="1" ht="17.100000000000001" customHeight="1">
      <c r="A30" s="6" t="s">
        <v>27</v>
      </c>
      <c r="B30" s="4">
        <v>1</v>
      </c>
      <c r="C30" s="4">
        <v>10</v>
      </c>
      <c r="D30" s="19">
        <v>3646</v>
      </c>
      <c r="E30" s="19">
        <v>3672.9</v>
      </c>
      <c r="F30" s="51">
        <f t="shared" si="1"/>
        <v>1.007377948436643</v>
      </c>
      <c r="G30" s="4">
        <v>10</v>
      </c>
      <c r="H30" s="4">
        <v>123</v>
      </c>
      <c r="I30" s="4">
        <v>434</v>
      </c>
      <c r="J30" s="51">
        <f t="shared" si="2"/>
        <v>1.3</v>
      </c>
      <c r="K30" s="4">
        <v>15</v>
      </c>
      <c r="L30" s="50">
        <v>5.2</v>
      </c>
      <c r="M30" s="50">
        <v>18.100000000000001</v>
      </c>
      <c r="N30" s="51">
        <f t="shared" si="3"/>
        <v>0.287292817679558</v>
      </c>
      <c r="O30" s="4">
        <v>15</v>
      </c>
      <c r="P30" s="24">
        <f t="shared" si="4"/>
        <v>0.87766343499119581</v>
      </c>
      <c r="Q30" s="46">
        <v>62985</v>
      </c>
      <c r="R30" s="19">
        <f t="shared" si="5"/>
        <v>34355.5</v>
      </c>
      <c r="S30" s="19">
        <f t="shared" si="6"/>
        <v>30152.6</v>
      </c>
      <c r="T30" s="19">
        <f t="shared" si="7"/>
        <v>-4202.9000000000015</v>
      </c>
      <c r="U30" s="19">
        <v>5725.9</v>
      </c>
      <c r="V30" s="19">
        <v>5725.9</v>
      </c>
      <c r="W30" s="19">
        <v>1004.8</v>
      </c>
      <c r="X30" s="19">
        <v>8102</v>
      </c>
      <c r="Y30" s="19">
        <v>5139.6000000000004</v>
      </c>
      <c r="Z30" s="19"/>
      <c r="AA30" s="19">
        <f t="shared" si="8"/>
        <v>4454.4000000000015</v>
      </c>
      <c r="AB30" s="60"/>
      <c r="AC30" s="41"/>
      <c r="AD30" s="41"/>
      <c r="AE30" s="19">
        <f t="shared" si="12"/>
        <v>4454.4000000000015</v>
      </c>
      <c r="AF30" s="19"/>
      <c r="AG30" s="19">
        <f t="shared" si="10"/>
        <v>4454.3999999999996</v>
      </c>
      <c r="AH30" s="57"/>
      <c r="AI30" s="1"/>
      <c r="AJ30" s="1"/>
      <c r="AK30" s="1"/>
      <c r="AL30" s="1"/>
      <c r="AM30" s="1"/>
      <c r="AN30" s="58"/>
    </row>
    <row r="31" spans="1:40" s="2" customFormat="1" ht="16.5" customHeight="1">
      <c r="A31" s="6" t="s">
        <v>28</v>
      </c>
      <c r="B31" s="4">
        <v>1</v>
      </c>
      <c r="C31" s="4">
        <v>10</v>
      </c>
      <c r="D31" s="19">
        <v>6881</v>
      </c>
      <c r="E31" s="19">
        <v>7126.9000000000005</v>
      </c>
      <c r="F31" s="51">
        <f t="shared" si="1"/>
        <v>1.035736084871385</v>
      </c>
      <c r="G31" s="4">
        <v>10</v>
      </c>
      <c r="H31" s="4">
        <v>176</v>
      </c>
      <c r="I31" s="4">
        <v>210</v>
      </c>
      <c r="J31" s="51">
        <f t="shared" si="2"/>
        <v>1.1931818181818181</v>
      </c>
      <c r="K31" s="4">
        <v>15</v>
      </c>
      <c r="L31" s="50">
        <v>3.7</v>
      </c>
      <c r="M31" s="50">
        <v>3.6</v>
      </c>
      <c r="N31" s="51">
        <f t="shared" si="3"/>
        <v>1.0277777777777779</v>
      </c>
      <c r="O31" s="4">
        <v>15</v>
      </c>
      <c r="P31" s="24">
        <f t="shared" si="4"/>
        <v>1.0734350957621559</v>
      </c>
      <c r="Q31" s="46">
        <v>78468</v>
      </c>
      <c r="R31" s="19">
        <f t="shared" si="5"/>
        <v>42800.7</v>
      </c>
      <c r="S31" s="19">
        <f t="shared" si="6"/>
        <v>45943.8</v>
      </c>
      <c r="T31" s="19">
        <f t="shared" si="7"/>
        <v>3143.1000000000058</v>
      </c>
      <c r="U31" s="19">
        <v>7133.5</v>
      </c>
      <c r="V31" s="19">
        <v>7133.4</v>
      </c>
      <c r="W31" s="19">
        <v>7199.3</v>
      </c>
      <c r="X31" s="19">
        <v>8782.7000000000007</v>
      </c>
      <c r="Y31" s="19">
        <v>7562.2</v>
      </c>
      <c r="Z31" s="19"/>
      <c r="AA31" s="19">
        <f t="shared" si="8"/>
        <v>8132.7000000000044</v>
      </c>
      <c r="AB31" s="60"/>
      <c r="AC31" s="42"/>
      <c r="AD31" s="41"/>
      <c r="AE31" s="19">
        <f t="shared" si="12"/>
        <v>8132.7000000000044</v>
      </c>
      <c r="AF31" s="19"/>
      <c r="AG31" s="19">
        <f t="shared" si="10"/>
        <v>8132.7</v>
      </c>
      <c r="AH31" s="57"/>
      <c r="AI31" s="1"/>
      <c r="AJ31" s="1"/>
      <c r="AK31" s="1"/>
      <c r="AL31" s="1"/>
      <c r="AM31" s="1"/>
      <c r="AN31" s="58"/>
    </row>
    <row r="32" spans="1:40" s="2" customFormat="1" ht="17.100000000000001" customHeight="1">
      <c r="A32" s="6" t="s">
        <v>29</v>
      </c>
      <c r="B32" s="4">
        <v>1</v>
      </c>
      <c r="C32" s="4">
        <v>10</v>
      </c>
      <c r="D32" s="19">
        <v>1787</v>
      </c>
      <c r="E32" s="19">
        <v>1802.6999999999998</v>
      </c>
      <c r="F32" s="51">
        <f t="shared" si="1"/>
        <v>1.0087856743144934</v>
      </c>
      <c r="G32" s="4">
        <v>10</v>
      </c>
      <c r="H32" s="4">
        <v>53</v>
      </c>
      <c r="I32" s="4">
        <v>91</v>
      </c>
      <c r="J32" s="51">
        <f t="shared" si="2"/>
        <v>1.2516981132075471</v>
      </c>
      <c r="K32" s="4">
        <v>15</v>
      </c>
      <c r="L32" s="50">
        <v>7</v>
      </c>
      <c r="M32" s="50">
        <v>0</v>
      </c>
      <c r="N32" s="51">
        <f t="shared" si="3"/>
        <v>1.3</v>
      </c>
      <c r="O32" s="4">
        <v>15</v>
      </c>
      <c r="P32" s="24">
        <f t="shared" si="4"/>
        <v>1.1672665688251629</v>
      </c>
      <c r="Q32" s="46">
        <v>34336</v>
      </c>
      <c r="R32" s="19">
        <f t="shared" si="5"/>
        <v>18728.7</v>
      </c>
      <c r="S32" s="19">
        <f t="shared" si="6"/>
        <v>21861.4</v>
      </c>
      <c r="T32" s="19">
        <f t="shared" si="7"/>
        <v>3132.7000000000007</v>
      </c>
      <c r="U32" s="19">
        <v>3121.5</v>
      </c>
      <c r="V32" s="19">
        <v>3121.4</v>
      </c>
      <c r="W32" s="19">
        <v>4468.1000000000004</v>
      </c>
      <c r="X32" s="19">
        <v>3974.4</v>
      </c>
      <c r="Y32" s="19">
        <v>3671.4</v>
      </c>
      <c r="Z32" s="19"/>
      <c r="AA32" s="19">
        <f t="shared" si="8"/>
        <v>3504.6000000000022</v>
      </c>
      <c r="AB32" s="60"/>
      <c r="AC32" s="42"/>
      <c r="AD32" s="41"/>
      <c r="AE32" s="19">
        <f t="shared" si="12"/>
        <v>3504.6000000000022</v>
      </c>
      <c r="AF32" s="19"/>
      <c r="AG32" s="19">
        <f t="shared" si="10"/>
        <v>3504.6</v>
      </c>
      <c r="AH32" s="57"/>
      <c r="AI32" s="1"/>
      <c r="AJ32" s="1"/>
      <c r="AK32" s="1"/>
      <c r="AL32" s="1"/>
      <c r="AM32" s="1"/>
      <c r="AN32" s="58"/>
    </row>
    <row r="33" spans="1:40" s="2" customFormat="1" ht="17.100000000000001" customHeight="1">
      <c r="A33" s="6" t="s">
        <v>30</v>
      </c>
      <c r="B33" s="4">
        <v>1</v>
      </c>
      <c r="C33" s="4">
        <v>10</v>
      </c>
      <c r="D33" s="19">
        <v>6156</v>
      </c>
      <c r="E33" s="19">
        <v>5937.9000000000005</v>
      </c>
      <c r="F33" s="51">
        <f t="shared" si="1"/>
        <v>0.96457115009746597</v>
      </c>
      <c r="G33" s="4">
        <v>10</v>
      </c>
      <c r="H33" s="4">
        <v>70</v>
      </c>
      <c r="I33" s="4">
        <v>74</v>
      </c>
      <c r="J33" s="51">
        <f t="shared" si="2"/>
        <v>1.0571428571428572</v>
      </c>
      <c r="K33" s="4">
        <v>15</v>
      </c>
      <c r="L33" s="50">
        <v>7</v>
      </c>
      <c r="M33" s="50">
        <v>0</v>
      </c>
      <c r="N33" s="51">
        <f t="shared" si="3"/>
        <v>1.3</v>
      </c>
      <c r="O33" s="4">
        <v>15</v>
      </c>
      <c r="P33" s="24">
        <f t="shared" si="4"/>
        <v>1.1000570871623503</v>
      </c>
      <c r="Q33" s="46">
        <v>57144</v>
      </c>
      <c r="R33" s="19">
        <f t="shared" si="5"/>
        <v>31169.5</v>
      </c>
      <c r="S33" s="19">
        <f t="shared" si="6"/>
        <v>34288.199999999997</v>
      </c>
      <c r="T33" s="19">
        <f t="shared" si="7"/>
        <v>3118.6999999999971</v>
      </c>
      <c r="U33" s="19">
        <v>5194.8999999999996</v>
      </c>
      <c r="V33" s="19">
        <v>5194.8999999999996</v>
      </c>
      <c r="W33" s="19">
        <v>6873.5</v>
      </c>
      <c r="X33" s="19">
        <v>5439.2</v>
      </c>
      <c r="Y33" s="19">
        <v>5675.6</v>
      </c>
      <c r="Z33" s="19"/>
      <c r="AA33" s="19">
        <f t="shared" si="8"/>
        <v>5910.0999999999985</v>
      </c>
      <c r="AB33" s="60"/>
      <c r="AC33" s="41"/>
      <c r="AD33" s="41"/>
      <c r="AE33" s="19">
        <f t="shared" si="12"/>
        <v>5910.0999999999985</v>
      </c>
      <c r="AF33" s="19"/>
      <c r="AG33" s="19">
        <f t="shared" si="10"/>
        <v>5910.1</v>
      </c>
      <c r="AH33" s="57"/>
      <c r="AI33" s="1"/>
      <c r="AJ33" s="1"/>
      <c r="AK33" s="1"/>
      <c r="AL33" s="1"/>
      <c r="AM33" s="1"/>
      <c r="AN33" s="58"/>
    </row>
    <row r="34" spans="1:40" s="2" customFormat="1" ht="17.100000000000001" customHeight="1">
      <c r="A34" s="6" t="s">
        <v>31</v>
      </c>
      <c r="B34" s="4">
        <v>1</v>
      </c>
      <c r="C34" s="4">
        <v>10</v>
      </c>
      <c r="D34" s="19">
        <v>2231</v>
      </c>
      <c r="E34" s="19">
        <v>2414.6999999999998</v>
      </c>
      <c r="F34" s="51">
        <f t="shared" si="1"/>
        <v>1.0823397579560734</v>
      </c>
      <c r="G34" s="4">
        <v>10</v>
      </c>
      <c r="H34" s="4">
        <v>70</v>
      </c>
      <c r="I34" s="4">
        <v>90</v>
      </c>
      <c r="J34" s="51">
        <f t="shared" si="2"/>
        <v>1.2085714285714286</v>
      </c>
      <c r="K34" s="4">
        <v>15</v>
      </c>
      <c r="L34" s="50">
        <v>78.8</v>
      </c>
      <c r="M34" s="50">
        <v>83.4</v>
      </c>
      <c r="N34" s="51">
        <f t="shared" si="3"/>
        <v>0.94484412470023971</v>
      </c>
      <c r="O34" s="4">
        <v>15</v>
      </c>
      <c r="P34" s="24">
        <f t="shared" si="4"/>
        <v>1.0624926175727152</v>
      </c>
      <c r="Q34" s="46">
        <v>61969</v>
      </c>
      <c r="R34" s="19">
        <f t="shared" si="5"/>
        <v>33801.300000000003</v>
      </c>
      <c r="S34" s="19">
        <f t="shared" si="6"/>
        <v>35913.599999999999</v>
      </c>
      <c r="T34" s="19">
        <f t="shared" si="7"/>
        <v>2112.2999999999956</v>
      </c>
      <c r="U34" s="19">
        <v>5633.5</v>
      </c>
      <c r="V34" s="19">
        <v>5633.6</v>
      </c>
      <c r="W34" s="19">
        <v>5873.1</v>
      </c>
      <c r="X34" s="19">
        <v>7027.7</v>
      </c>
      <c r="Y34" s="19">
        <v>6041.9</v>
      </c>
      <c r="Z34" s="19"/>
      <c r="AA34" s="19">
        <f t="shared" si="8"/>
        <v>5703.7999999999956</v>
      </c>
      <c r="AB34" s="60"/>
      <c r="AC34" s="41"/>
      <c r="AD34" s="41"/>
      <c r="AE34" s="19">
        <f t="shared" si="12"/>
        <v>5703.7999999999956</v>
      </c>
      <c r="AF34" s="19"/>
      <c r="AG34" s="19">
        <f t="shared" si="10"/>
        <v>5703.8</v>
      </c>
      <c r="AH34" s="57"/>
      <c r="AI34" s="1"/>
      <c r="AJ34" s="1"/>
      <c r="AK34" s="1"/>
      <c r="AL34" s="1"/>
      <c r="AM34" s="1"/>
      <c r="AN34" s="58"/>
    </row>
    <row r="35" spans="1:40" s="2" customFormat="1" ht="17.100000000000001" customHeight="1">
      <c r="A35" s="6" t="s">
        <v>1</v>
      </c>
      <c r="B35" s="4">
        <v>1</v>
      </c>
      <c r="C35" s="4">
        <v>10</v>
      </c>
      <c r="D35" s="19">
        <v>15545</v>
      </c>
      <c r="E35" s="19">
        <v>15976.8</v>
      </c>
      <c r="F35" s="51">
        <f t="shared" si="1"/>
        <v>1.027777420392409</v>
      </c>
      <c r="G35" s="4">
        <v>10</v>
      </c>
      <c r="H35" s="4">
        <v>123</v>
      </c>
      <c r="I35" s="4">
        <v>119</v>
      </c>
      <c r="J35" s="51">
        <f t="shared" si="2"/>
        <v>0.96747967479674801</v>
      </c>
      <c r="K35" s="4">
        <v>15</v>
      </c>
      <c r="L35" s="50">
        <v>55.5</v>
      </c>
      <c r="M35" s="50">
        <v>37.9</v>
      </c>
      <c r="N35" s="51">
        <f t="shared" si="3"/>
        <v>1.2264379947229551</v>
      </c>
      <c r="O35" s="4">
        <v>15</v>
      </c>
      <c r="P35" s="24">
        <f t="shared" si="4"/>
        <v>1.0637307849343929</v>
      </c>
      <c r="Q35" s="46">
        <v>79649</v>
      </c>
      <c r="R35" s="19">
        <f t="shared" si="5"/>
        <v>43444.9</v>
      </c>
      <c r="S35" s="19">
        <f t="shared" si="6"/>
        <v>46213.7</v>
      </c>
      <c r="T35" s="19">
        <f t="shared" si="7"/>
        <v>2768.7999999999956</v>
      </c>
      <c r="U35" s="19">
        <v>7240.8</v>
      </c>
      <c r="V35" s="19">
        <v>7240.8</v>
      </c>
      <c r="W35" s="19">
        <v>8867.5</v>
      </c>
      <c r="X35" s="19">
        <v>6849.8</v>
      </c>
      <c r="Y35" s="19">
        <v>7549.7</v>
      </c>
      <c r="Z35" s="19"/>
      <c r="AA35" s="19">
        <f t="shared" si="8"/>
        <v>8465.0999999999985</v>
      </c>
      <c r="AB35" s="60"/>
      <c r="AC35" s="41"/>
      <c r="AD35" s="41"/>
      <c r="AE35" s="19">
        <f t="shared" si="12"/>
        <v>8465.0999999999985</v>
      </c>
      <c r="AF35" s="19"/>
      <c r="AG35" s="19">
        <f t="shared" si="10"/>
        <v>8465.1</v>
      </c>
      <c r="AH35" s="57"/>
      <c r="AI35" s="1"/>
      <c r="AJ35" s="1"/>
      <c r="AK35" s="1"/>
      <c r="AL35" s="1"/>
      <c r="AM35" s="1"/>
      <c r="AN35" s="58"/>
    </row>
    <row r="36" spans="1:40" s="2" customFormat="1" ht="17.100000000000001" customHeight="1">
      <c r="A36" s="6" t="s">
        <v>32</v>
      </c>
      <c r="B36" s="4">
        <v>1</v>
      </c>
      <c r="C36" s="4">
        <v>10</v>
      </c>
      <c r="D36" s="19">
        <v>7871</v>
      </c>
      <c r="E36" s="19">
        <v>7751.7999999999993</v>
      </c>
      <c r="F36" s="51">
        <f t="shared" si="1"/>
        <v>0.98485579977131232</v>
      </c>
      <c r="G36" s="4">
        <v>10</v>
      </c>
      <c r="H36" s="4">
        <v>70</v>
      </c>
      <c r="I36" s="4">
        <v>63</v>
      </c>
      <c r="J36" s="51">
        <f t="shared" si="2"/>
        <v>0.9</v>
      </c>
      <c r="K36" s="4">
        <v>15</v>
      </c>
      <c r="L36" s="50">
        <v>111.3</v>
      </c>
      <c r="M36" s="50">
        <v>147.6</v>
      </c>
      <c r="N36" s="51">
        <f t="shared" si="3"/>
        <v>0.75406504065040647</v>
      </c>
      <c r="O36" s="4">
        <v>15</v>
      </c>
      <c r="P36" s="24">
        <f t="shared" si="4"/>
        <v>0.89319067214938441</v>
      </c>
      <c r="Q36" s="46">
        <v>57825</v>
      </c>
      <c r="R36" s="19">
        <f t="shared" si="5"/>
        <v>31540.9</v>
      </c>
      <c r="S36" s="19">
        <f t="shared" si="6"/>
        <v>28172</v>
      </c>
      <c r="T36" s="19">
        <f t="shared" si="7"/>
        <v>-3368.9000000000015</v>
      </c>
      <c r="U36" s="19">
        <v>5256.8</v>
      </c>
      <c r="V36" s="19">
        <v>5256.8</v>
      </c>
      <c r="W36" s="19">
        <v>3459.2</v>
      </c>
      <c r="X36" s="19">
        <v>4745.8999999999996</v>
      </c>
      <c r="Y36" s="19">
        <v>4679.6000000000004</v>
      </c>
      <c r="Z36" s="19"/>
      <c r="AA36" s="19">
        <f t="shared" si="8"/>
        <v>4773.7000000000044</v>
      </c>
      <c r="AB36" s="60"/>
      <c r="AC36" s="41"/>
      <c r="AD36" s="41"/>
      <c r="AE36" s="19">
        <f t="shared" si="12"/>
        <v>4773.7000000000044</v>
      </c>
      <c r="AF36" s="19"/>
      <c r="AG36" s="19">
        <f t="shared" si="10"/>
        <v>4773.7</v>
      </c>
      <c r="AH36" s="57"/>
      <c r="AI36" s="1"/>
      <c r="AJ36" s="1"/>
      <c r="AK36" s="1"/>
      <c r="AL36" s="1"/>
      <c r="AM36" s="1"/>
      <c r="AN36" s="58"/>
    </row>
    <row r="37" spans="1:40" s="2" customFormat="1" ht="17.100000000000001" customHeight="1">
      <c r="A37" s="6" t="s">
        <v>33</v>
      </c>
      <c r="B37" s="4">
        <v>1</v>
      </c>
      <c r="C37" s="4">
        <v>10</v>
      </c>
      <c r="D37" s="19">
        <v>1924</v>
      </c>
      <c r="E37" s="19">
        <v>1934.9</v>
      </c>
      <c r="F37" s="51">
        <f t="shared" si="1"/>
        <v>1.0056652806652806</v>
      </c>
      <c r="G37" s="4">
        <v>10</v>
      </c>
      <c r="H37" s="4">
        <v>53</v>
      </c>
      <c r="I37" s="4">
        <v>70</v>
      </c>
      <c r="J37" s="51">
        <f t="shared" si="2"/>
        <v>1.2120754716981132</v>
      </c>
      <c r="K37" s="4">
        <v>15</v>
      </c>
      <c r="L37" s="50">
        <v>9.8000000000000007</v>
      </c>
      <c r="M37" s="50">
        <v>8.1</v>
      </c>
      <c r="N37" s="51">
        <f t="shared" si="3"/>
        <v>1.2009876543209876</v>
      </c>
      <c r="O37" s="4">
        <v>15</v>
      </c>
      <c r="P37" s="24">
        <f t="shared" si="4"/>
        <v>1.1250519939387862</v>
      </c>
      <c r="Q37" s="46">
        <v>42512</v>
      </c>
      <c r="R37" s="19">
        <f t="shared" si="5"/>
        <v>23188.400000000001</v>
      </c>
      <c r="S37" s="19">
        <f t="shared" si="6"/>
        <v>26088.2</v>
      </c>
      <c r="T37" s="19">
        <f t="shared" si="7"/>
        <v>2899.7999999999993</v>
      </c>
      <c r="U37" s="19">
        <v>3864.7</v>
      </c>
      <c r="V37" s="19">
        <v>3864.8</v>
      </c>
      <c r="W37" s="19">
        <v>4819.7</v>
      </c>
      <c r="X37" s="19">
        <v>4784.6000000000004</v>
      </c>
      <c r="Y37" s="19">
        <v>4333.3999999999996</v>
      </c>
      <c r="Z37" s="19"/>
      <c r="AA37" s="19">
        <f t="shared" si="8"/>
        <v>4420.9999999999964</v>
      </c>
      <c r="AB37" s="60"/>
      <c r="AC37" s="41"/>
      <c r="AD37" s="41"/>
      <c r="AE37" s="19">
        <f t="shared" si="12"/>
        <v>4420.9999999999964</v>
      </c>
      <c r="AF37" s="19"/>
      <c r="AG37" s="19">
        <f t="shared" si="10"/>
        <v>4421</v>
      </c>
      <c r="AH37" s="57"/>
      <c r="AI37" s="1"/>
      <c r="AJ37" s="1"/>
      <c r="AK37" s="1"/>
      <c r="AL37" s="1"/>
      <c r="AM37" s="1"/>
      <c r="AN37" s="58"/>
    </row>
    <row r="38" spans="1:40" s="2" customFormat="1" ht="17.100000000000001" customHeight="1">
      <c r="A38" s="6" t="s">
        <v>34</v>
      </c>
      <c r="B38" s="4">
        <v>1</v>
      </c>
      <c r="C38" s="4">
        <v>10</v>
      </c>
      <c r="D38" s="19">
        <v>2602</v>
      </c>
      <c r="E38" s="19">
        <v>2564.8999999999996</v>
      </c>
      <c r="F38" s="51">
        <f t="shared" si="1"/>
        <v>0.98574173712528812</v>
      </c>
      <c r="G38" s="4">
        <v>10</v>
      </c>
      <c r="H38" s="4">
        <v>70</v>
      </c>
      <c r="I38" s="4">
        <v>120</v>
      </c>
      <c r="J38" s="51">
        <f t="shared" si="2"/>
        <v>1.2514285714285713</v>
      </c>
      <c r="K38" s="4">
        <v>15</v>
      </c>
      <c r="L38" s="50">
        <v>11.5</v>
      </c>
      <c r="M38" s="50">
        <v>4</v>
      </c>
      <c r="N38" s="51">
        <f t="shared" si="3"/>
        <v>1.3</v>
      </c>
      <c r="O38" s="4">
        <v>15</v>
      </c>
      <c r="P38" s="24">
        <f t="shared" si="4"/>
        <v>1.162576918853629</v>
      </c>
      <c r="Q38" s="46">
        <v>89580</v>
      </c>
      <c r="R38" s="19">
        <f t="shared" si="5"/>
        <v>48861.8</v>
      </c>
      <c r="S38" s="19">
        <f t="shared" si="6"/>
        <v>56805.599999999999</v>
      </c>
      <c r="T38" s="19">
        <f t="shared" si="7"/>
        <v>7943.7999999999956</v>
      </c>
      <c r="U38" s="19">
        <v>8143.6</v>
      </c>
      <c r="V38" s="19">
        <v>8143.7</v>
      </c>
      <c r="W38" s="19">
        <v>7034.3</v>
      </c>
      <c r="X38" s="19">
        <v>10674.6</v>
      </c>
      <c r="Y38" s="19">
        <v>8499.1</v>
      </c>
      <c r="Z38" s="19"/>
      <c r="AA38" s="19">
        <f t="shared" si="8"/>
        <v>14310.300000000003</v>
      </c>
      <c r="AB38" s="60"/>
      <c r="AC38" s="42"/>
      <c r="AD38" s="41"/>
      <c r="AE38" s="19">
        <f t="shared" si="12"/>
        <v>14310.300000000003</v>
      </c>
      <c r="AF38" s="19"/>
      <c r="AG38" s="19">
        <f t="shared" si="10"/>
        <v>14310.3</v>
      </c>
      <c r="AH38" s="57"/>
      <c r="AI38" s="1"/>
      <c r="AJ38" s="1"/>
      <c r="AK38" s="1"/>
      <c r="AL38" s="1"/>
      <c r="AM38" s="1"/>
      <c r="AN38" s="58"/>
    </row>
    <row r="39" spans="1:40" s="2" customFormat="1" ht="17.100000000000001" customHeight="1">
      <c r="A39" s="6" t="s">
        <v>35</v>
      </c>
      <c r="B39" s="4">
        <v>1</v>
      </c>
      <c r="C39" s="4">
        <v>10</v>
      </c>
      <c r="D39" s="19">
        <v>3064</v>
      </c>
      <c r="E39" s="19">
        <v>2920.2000000000003</v>
      </c>
      <c r="F39" s="51">
        <f t="shared" si="1"/>
        <v>0.95306788511749352</v>
      </c>
      <c r="G39" s="4">
        <v>10</v>
      </c>
      <c r="H39" s="4">
        <v>53</v>
      </c>
      <c r="I39" s="4">
        <v>70</v>
      </c>
      <c r="J39" s="51">
        <f t="shared" si="2"/>
        <v>1.2120754716981132</v>
      </c>
      <c r="K39" s="4">
        <v>15</v>
      </c>
      <c r="L39" s="50">
        <v>49.6</v>
      </c>
      <c r="M39" s="50">
        <v>43.2</v>
      </c>
      <c r="N39" s="51">
        <f t="shared" si="3"/>
        <v>1.1481481481481481</v>
      </c>
      <c r="O39" s="4">
        <v>15</v>
      </c>
      <c r="P39" s="24">
        <f t="shared" si="4"/>
        <v>1.0986806629773771</v>
      </c>
      <c r="Q39" s="46">
        <v>62081</v>
      </c>
      <c r="R39" s="19">
        <f t="shared" si="5"/>
        <v>33862.400000000001</v>
      </c>
      <c r="S39" s="19">
        <f t="shared" si="6"/>
        <v>37204</v>
      </c>
      <c r="T39" s="19">
        <f t="shared" si="7"/>
        <v>3341.5999999999985</v>
      </c>
      <c r="U39" s="19">
        <v>5643.7</v>
      </c>
      <c r="V39" s="19">
        <v>5643.8</v>
      </c>
      <c r="W39" s="19">
        <v>5213.7</v>
      </c>
      <c r="X39" s="19">
        <v>7108.6</v>
      </c>
      <c r="Y39" s="19">
        <v>5902.5</v>
      </c>
      <c r="Z39" s="19"/>
      <c r="AA39" s="19">
        <f t="shared" si="8"/>
        <v>7691.6999999999971</v>
      </c>
      <c r="AB39" s="60"/>
      <c r="AC39" s="42"/>
      <c r="AD39" s="41"/>
      <c r="AE39" s="19">
        <f t="shared" si="12"/>
        <v>7691.6999999999971</v>
      </c>
      <c r="AF39" s="19"/>
      <c r="AG39" s="19">
        <f t="shared" si="10"/>
        <v>7691.7</v>
      </c>
      <c r="AH39" s="57"/>
      <c r="AI39" s="1"/>
      <c r="AJ39" s="1"/>
      <c r="AK39" s="1"/>
      <c r="AL39" s="1"/>
      <c r="AM39" s="1"/>
      <c r="AN39" s="58"/>
    </row>
    <row r="40" spans="1:40" s="2" customFormat="1" ht="17.100000000000001" customHeight="1">
      <c r="A40" s="6" t="s">
        <v>36</v>
      </c>
      <c r="B40" s="4">
        <v>1</v>
      </c>
      <c r="C40" s="4">
        <v>10</v>
      </c>
      <c r="D40" s="19">
        <v>8403</v>
      </c>
      <c r="E40" s="19">
        <v>8704.4</v>
      </c>
      <c r="F40" s="51">
        <f t="shared" si="1"/>
        <v>1.0358681423301201</v>
      </c>
      <c r="G40" s="4">
        <v>10</v>
      </c>
      <c r="H40" s="4">
        <v>70</v>
      </c>
      <c r="I40" s="4">
        <v>210</v>
      </c>
      <c r="J40" s="51">
        <f t="shared" si="2"/>
        <v>1.3</v>
      </c>
      <c r="K40" s="4">
        <v>15</v>
      </c>
      <c r="L40" s="50">
        <v>42.4</v>
      </c>
      <c r="M40" s="50">
        <v>34.4</v>
      </c>
      <c r="N40" s="51">
        <f t="shared" si="3"/>
        <v>1.2032558139534884</v>
      </c>
      <c r="O40" s="4">
        <v>15</v>
      </c>
      <c r="P40" s="24">
        <f t="shared" si="4"/>
        <v>1.1581503726520705</v>
      </c>
      <c r="Q40" s="46">
        <v>87603</v>
      </c>
      <c r="R40" s="19">
        <f t="shared" si="5"/>
        <v>47783.5</v>
      </c>
      <c r="S40" s="19">
        <f t="shared" si="6"/>
        <v>55340.5</v>
      </c>
      <c r="T40" s="19">
        <f t="shared" si="7"/>
        <v>7557</v>
      </c>
      <c r="U40" s="19">
        <v>5236.6000000000004</v>
      </c>
      <c r="V40" s="19">
        <v>5236.7</v>
      </c>
      <c r="W40" s="19">
        <v>3791.4</v>
      </c>
      <c r="X40" s="19">
        <v>5908.9</v>
      </c>
      <c r="Y40" s="19">
        <v>19002.599999999999</v>
      </c>
      <c r="Z40" s="19">
        <v>1662.9</v>
      </c>
      <c r="AA40" s="19">
        <f t="shared" si="8"/>
        <v>14501.400000000001</v>
      </c>
      <c r="AB40" s="60"/>
      <c r="AC40" s="41"/>
      <c r="AD40" s="41"/>
      <c r="AE40" s="19">
        <f t="shared" si="12"/>
        <v>14501.400000000001</v>
      </c>
      <c r="AF40" s="19"/>
      <c r="AG40" s="19">
        <f>ROUND(AE40-AF40,1)</f>
        <v>14501.4</v>
      </c>
      <c r="AH40" s="57"/>
      <c r="AI40" s="1"/>
      <c r="AJ40" s="1"/>
      <c r="AK40" s="1"/>
      <c r="AL40" s="1"/>
      <c r="AM40" s="1"/>
      <c r="AN40" s="58"/>
    </row>
    <row r="41" spans="1:40" s="2" customFormat="1" ht="17.100000000000001" customHeight="1">
      <c r="A41" s="6" t="s">
        <v>37</v>
      </c>
      <c r="B41" s="4">
        <v>1</v>
      </c>
      <c r="C41" s="4">
        <v>10</v>
      </c>
      <c r="D41" s="19">
        <v>20539</v>
      </c>
      <c r="E41" s="19">
        <v>22438.899999999998</v>
      </c>
      <c r="F41" s="51">
        <f t="shared" si="1"/>
        <v>1.0925020692341398</v>
      </c>
      <c r="G41" s="4">
        <v>10</v>
      </c>
      <c r="H41" s="4">
        <v>123</v>
      </c>
      <c r="I41" s="4">
        <v>143</v>
      </c>
      <c r="J41" s="51">
        <f t="shared" si="2"/>
        <v>1.1626016260162602</v>
      </c>
      <c r="K41" s="4">
        <v>15</v>
      </c>
      <c r="L41" s="50">
        <v>190.4</v>
      </c>
      <c r="M41" s="50">
        <v>167.9</v>
      </c>
      <c r="N41" s="51">
        <f t="shared" si="3"/>
        <v>1.1340083382966051</v>
      </c>
      <c r="O41" s="4">
        <v>15</v>
      </c>
      <c r="P41" s="24">
        <f t="shared" si="4"/>
        <v>1.1074834031406875</v>
      </c>
      <c r="Q41" s="46">
        <v>79173</v>
      </c>
      <c r="R41" s="19">
        <f t="shared" si="5"/>
        <v>43185.3</v>
      </c>
      <c r="S41" s="19">
        <f t="shared" si="6"/>
        <v>47827</v>
      </c>
      <c r="T41" s="19">
        <f t="shared" si="7"/>
        <v>4641.6999999999971</v>
      </c>
      <c r="U41" s="19">
        <v>7197.5</v>
      </c>
      <c r="V41" s="19">
        <v>7197.6</v>
      </c>
      <c r="W41" s="19">
        <v>7621.5</v>
      </c>
      <c r="X41" s="19">
        <v>8573.7999999999993</v>
      </c>
      <c r="Y41" s="19">
        <v>7647.5</v>
      </c>
      <c r="Z41" s="19"/>
      <c r="AA41" s="19">
        <f t="shared" si="8"/>
        <v>9589.1000000000058</v>
      </c>
      <c r="AB41" s="60"/>
      <c r="AC41" s="41"/>
      <c r="AD41" s="41"/>
      <c r="AE41" s="19">
        <f t="shared" si="12"/>
        <v>9589.1000000000058</v>
      </c>
      <c r="AF41" s="19"/>
      <c r="AG41" s="19">
        <f t="shared" si="10"/>
        <v>9589.1</v>
      </c>
      <c r="AH41" s="57"/>
      <c r="AI41" s="1"/>
      <c r="AJ41" s="1"/>
      <c r="AK41" s="1"/>
      <c r="AL41" s="1"/>
      <c r="AM41" s="1"/>
      <c r="AN41" s="58"/>
    </row>
    <row r="42" spans="1:40" s="2" customFormat="1" ht="17.100000000000001" customHeight="1">
      <c r="A42" s="6" t="s">
        <v>38</v>
      </c>
      <c r="B42" s="4">
        <v>1</v>
      </c>
      <c r="C42" s="4">
        <v>10</v>
      </c>
      <c r="D42" s="19">
        <v>3833</v>
      </c>
      <c r="E42" s="19">
        <v>4352.8999999999996</v>
      </c>
      <c r="F42" s="51">
        <f t="shared" si="1"/>
        <v>1.1356378815549177</v>
      </c>
      <c r="G42" s="4">
        <v>10</v>
      </c>
      <c r="H42" s="4">
        <v>70</v>
      </c>
      <c r="I42" s="4">
        <v>203</v>
      </c>
      <c r="J42" s="51">
        <f t="shared" si="2"/>
        <v>1.3</v>
      </c>
      <c r="K42" s="4">
        <v>15</v>
      </c>
      <c r="L42" s="50">
        <v>23.8</v>
      </c>
      <c r="M42" s="50">
        <v>30.3</v>
      </c>
      <c r="N42" s="51">
        <f t="shared" si="3"/>
        <v>0.78547854785478544</v>
      </c>
      <c r="O42" s="4">
        <v>15</v>
      </c>
      <c r="P42" s="24">
        <f t="shared" si="4"/>
        <v>1.0527711406674192</v>
      </c>
      <c r="Q42" s="46">
        <v>48420</v>
      </c>
      <c r="R42" s="19">
        <f t="shared" si="5"/>
        <v>26410.9</v>
      </c>
      <c r="S42" s="19">
        <f t="shared" si="6"/>
        <v>27804.6</v>
      </c>
      <c r="T42" s="19">
        <f t="shared" si="7"/>
        <v>1393.6999999999971</v>
      </c>
      <c r="U42" s="19">
        <v>4401.8</v>
      </c>
      <c r="V42" s="19">
        <v>4401.8</v>
      </c>
      <c r="W42" s="19">
        <v>3974.9</v>
      </c>
      <c r="X42" s="19">
        <v>6014.9</v>
      </c>
      <c r="Y42" s="19">
        <v>4698.3</v>
      </c>
      <c r="Z42" s="19"/>
      <c r="AA42" s="19">
        <f t="shared" si="8"/>
        <v>4312.8999999999978</v>
      </c>
      <c r="AB42" s="60"/>
      <c r="AC42" s="42"/>
      <c r="AD42" s="41"/>
      <c r="AE42" s="19">
        <f t="shared" si="12"/>
        <v>4312.8999999999978</v>
      </c>
      <c r="AF42" s="19"/>
      <c r="AG42" s="19">
        <f t="shared" si="10"/>
        <v>4312.8999999999996</v>
      </c>
      <c r="AH42" s="57"/>
      <c r="AI42" s="1"/>
      <c r="AJ42" s="1"/>
      <c r="AK42" s="1"/>
      <c r="AL42" s="1"/>
      <c r="AM42" s="1"/>
      <c r="AN42" s="58"/>
    </row>
    <row r="43" spans="1:40" s="2" customFormat="1" ht="17.100000000000001" customHeight="1">
      <c r="A43" s="6" t="s">
        <v>2</v>
      </c>
      <c r="B43" s="4">
        <v>1</v>
      </c>
      <c r="C43" s="4">
        <v>10</v>
      </c>
      <c r="D43" s="19">
        <v>1936</v>
      </c>
      <c r="E43" s="19">
        <v>1979.8</v>
      </c>
      <c r="F43" s="51">
        <f t="shared" si="1"/>
        <v>1.0226239669421486</v>
      </c>
      <c r="G43" s="4">
        <v>10</v>
      </c>
      <c r="H43" s="4">
        <v>53</v>
      </c>
      <c r="I43" s="4">
        <v>60</v>
      </c>
      <c r="J43" s="51">
        <f t="shared" si="2"/>
        <v>1.1320754716981132</v>
      </c>
      <c r="K43" s="4">
        <v>15</v>
      </c>
      <c r="L43" s="50">
        <v>33.5</v>
      </c>
      <c r="M43" s="50">
        <v>10.5</v>
      </c>
      <c r="N43" s="51">
        <f t="shared" si="3"/>
        <v>1.3</v>
      </c>
      <c r="O43" s="4">
        <v>15</v>
      </c>
      <c r="P43" s="24">
        <f t="shared" si="4"/>
        <v>1.1341474348978637</v>
      </c>
      <c r="Q43" s="46">
        <v>60379</v>
      </c>
      <c r="R43" s="19">
        <f t="shared" si="5"/>
        <v>32934</v>
      </c>
      <c r="S43" s="19">
        <f t="shared" si="6"/>
        <v>37352</v>
      </c>
      <c r="T43" s="19">
        <f t="shared" si="7"/>
        <v>4418</v>
      </c>
      <c r="U43" s="19">
        <v>5489</v>
      </c>
      <c r="V43" s="19">
        <v>5489</v>
      </c>
      <c r="W43" s="19">
        <v>7125.2</v>
      </c>
      <c r="X43" s="19">
        <v>6249.8</v>
      </c>
      <c r="Y43" s="19">
        <v>6088.3</v>
      </c>
      <c r="Z43" s="19"/>
      <c r="AA43" s="19">
        <f t="shared" si="8"/>
        <v>6910.7000000000007</v>
      </c>
      <c r="AB43" s="60"/>
      <c r="AC43" s="42"/>
      <c r="AD43" s="41"/>
      <c r="AE43" s="19">
        <f t="shared" si="12"/>
        <v>6910.7000000000007</v>
      </c>
      <c r="AF43" s="19"/>
      <c r="AG43" s="19">
        <f t="shared" si="10"/>
        <v>6910.7</v>
      </c>
      <c r="AH43" s="57"/>
      <c r="AI43" s="1"/>
      <c r="AJ43" s="1"/>
      <c r="AK43" s="1"/>
      <c r="AL43" s="1"/>
      <c r="AM43" s="1"/>
      <c r="AN43" s="58"/>
    </row>
    <row r="44" spans="1:40" s="2" customFormat="1" ht="17.100000000000001" customHeight="1">
      <c r="A44" s="6" t="s">
        <v>39</v>
      </c>
      <c r="B44" s="4">
        <v>1</v>
      </c>
      <c r="C44" s="4">
        <v>10</v>
      </c>
      <c r="D44" s="19">
        <v>2012</v>
      </c>
      <c r="E44" s="19">
        <v>1980.3999999999999</v>
      </c>
      <c r="F44" s="51">
        <f t="shared" si="1"/>
        <v>0.98429423459244525</v>
      </c>
      <c r="G44" s="4">
        <v>10</v>
      </c>
      <c r="H44" s="4">
        <v>53</v>
      </c>
      <c r="I44" s="4">
        <v>81</v>
      </c>
      <c r="J44" s="51">
        <f t="shared" si="2"/>
        <v>1.2328301886792452</v>
      </c>
      <c r="K44" s="4">
        <v>15</v>
      </c>
      <c r="L44" s="50">
        <v>4.9000000000000004</v>
      </c>
      <c r="M44" s="50">
        <v>1.5</v>
      </c>
      <c r="N44" s="51">
        <f t="shared" si="3"/>
        <v>1.3</v>
      </c>
      <c r="O44" s="4">
        <v>15</v>
      </c>
      <c r="P44" s="24">
        <f t="shared" si="4"/>
        <v>1.1567079035222627</v>
      </c>
      <c r="Q44" s="46">
        <v>52182</v>
      </c>
      <c r="R44" s="19">
        <f t="shared" si="5"/>
        <v>28462.9</v>
      </c>
      <c r="S44" s="19">
        <f t="shared" si="6"/>
        <v>32923.300000000003</v>
      </c>
      <c r="T44" s="19">
        <f t="shared" si="7"/>
        <v>4460.4000000000015</v>
      </c>
      <c r="U44" s="19">
        <v>4743.8</v>
      </c>
      <c r="V44" s="19">
        <v>4743.8</v>
      </c>
      <c r="W44" s="19">
        <v>5973.4</v>
      </c>
      <c r="X44" s="19">
        <v>5987.2</v>
      </c>
      <c r="Y44" s="19">
        <v>5362</v>
      </c>
      <c r="Z44" s="19"/>
      <c r="AA44" s="19">
        <f t="shared" si="8"/>
        <v>6113.1000000000022</v>
      </c>
      <c r="AB44" s="60"/>
      <c r="AC44" s="41"/>
      <c r="AD44" s="41"/>
      <c r="AE44" s="19">
        <f t="shared" si="12"/>
        <v>6113.1000000000022</v>
      </c>
      <c r="AF44" s="19"/>
      <c r="AG44" s="19">
        <f t="shared" si="10"/>
        <v>6113.1</v>
      </c>
      <c r="AH44" s="57"/>
      <c r="AI44" s="1"/>
      <c r="AJ44" s="1"/>
      <c r="AK44" s="1"/>
      <c r="AL44" s="1"/>
      <c r="AM44" s="1"/>
      <c r="AN44" s="58"/>
    </row>
    <row r="45" spans="1:40" s="2" customFormat="1" ht="17.100000000000001" customHeight="1">
      <c r="A45" s="6" t="s">
        <v>3</v>
      </c>
      <c r="B45" s="4">
        <v>1</v>
      </c>
      <c r="C45" s="4">
        <v>10</v>
      </c>
      <c r="D45" s="19">
        <v>3050</v>
      </c>
      <c r="E45" s="19">
        <v>3141.8</v>
      </c>
      <c r="F45" s="51">
        <f t="shared" si="1"/>
        <v>1.0300983606557377</v>
      </c>
      <c r="G45" s="4">
        <v>10</v>
      </c>
      <c r="H45" s="4">
        <v>53</v>
      </c>
      <c r="I45" s="4">
        <v>340</v>
      </c>
      <c r="J45" s="51">
        <f t="shared" si="2"/>
        <v>1.3</v>
      </c>
      <c r="K45" s="4">
        <v>15</v>
      </c>
      <c r="L45" s="50">
        <v>2.7</v>
      </c>
      <c r="M45" s="50">
        <v>1.5</v>
      </c>
      <c r="N45" s="51">
        <f t="shared" si="3"/>
        <v>1.26</v>
      </c>
      <c r="O45" s="4">
        <v>15</v>
      </c>
      <c r="P45" s="24">
        <f t="shared" si="4"/>
        <v>1.1740196721311476</v>
      </c>
      <c r="Q45" s="46">
        <v>48044</v>
      </c>
      <c r="R45" s="19">
        <f t="shared" si="5"/>
        <v>26205.8</v>
      </c>
      <c r="S45" s="19">
        <f t="shared" si="6"/>
        <v>30766.1</v>
      </c>
      <c r="T45" s="19">
        <f t="shared" si="7"/>
        <v>4560.2999999999993</v>
      </c>
      <c r="U45" s="19">
        <v>4367.6000000000004</v>
      </c>
      <c r="V45" s="19">
        <v>4367.7</v>
      </c>
      <c r="W45" s="19">
        <v>6182.2</v>
      </c>
      <c r="X45" s="19">
        <v>5819</v>
      </c>
      <c r="Y45" s="19">
        <v>5184.2</v>
      </c>
      <c r="Z45" s="19"/>
      <c r="AA45" s="19">
        <f t="shared" si="8"/>
        <v>4845.3999999999978</v>
      </c>
      <c r="AB45" s="60"/>
      <c r="AC45" s="42"/>
      <c r="AD45" s="41"/>
      <c r="AE45" s="19">
        <f t="shared" si="12"/>
        <v>4845.3999999999978</v>
      </c>
      <c r="AF45" s="19"/>
      <c r="AG45" s="19">
        <f t="shared" si="10"/>
        <v>4845.3999999999996</v>
      </c>
      <c r="AH45" s="57"/>
      <c r="AI45" s="1"/>
      <c r="AJ45" s="1"/>
      <c r="AK45" s="1"/>
      <c r="AL45" s="1"/>
      <c r="AM45" s="1"/>
      <c r="AN45" s="58"/>
    </row>
    <row r="46" spans="1:40" s="2" customFormat="1" ht="17.100000000000001" customHeight="1">
      <c r="A46" s="6" t="s">
        <v>40</v>
      </c>
      <c r="B46" s="4">
        <v>1</v>
      </c>
      <c r="C46" s="4">
        <v>10</v>
      </c>
      <c r="D46" s="19">
        <v>3600</v>
      </c>
      <c r="E46" s="19">
        <v>3681</v>
      </c>
      <c r="F46" s="51">
        <f t="shared" si="1"/>
        <v>1.0225</v>
      </c>
      <c r="G46" s="4">
        <v>10</v>
      </c>
      <c r="H46" s="4">
        <v>70</v>
      </c>
      <c r="I46" s="4">
        <v>125</v>
      </c>
      <c r="J46" s="51">
        <f t="shared" si="2"/>
        <v>1.2585714285714285</v>
      </c>
      <c r="K46" s="4">
        <v>15</v>
      </c>
      <c r="L46" s="50">
        <v>36.9</v>
      </c>
      <c r="M46" s="50">
        <v>16.100000000000001</v>
      </c>
      <c r="N46" s="51">
        <f t="shared" si="3"/>
        <v>1.3</v>
      </c>
      <c r="O46" s="4">
        <v>15</v>
      </c>
      <c r="P46" s="24">
        <f>(B46*C46+F46*G46+J46*K46+N46*O46)/(C46+G46+K46+O46)</f>
        <v>1.1720714285714287</v>
      </c>
      <c r="Q46" s="46">
        <v>66482</v>
      </c>
      <c r="R46" s="19">
        <f>ROUND(Q46/11*6,1)</f>
        <v>36262.9</v>
      </c>
      <c r="S46" s="19">
        <f>ROUND(P46*R46,1)</f>
        <v>42502.7</v>
      </c>
      <c r="T46" s="19">
        <f>S46-R46</f>
        <v>6239.7999999999956</v>
      </c>
      <c r="U46" s="19">
        <v>6043.8</v>
      </c>
      <c r="V46" s="19">
        <v>6043.8</v>
      </c>
      <c r="W46" s="19">
        <v>7767.2</v>
      </c>
      <c r="X46" s="19">
        <v>7804.3</v>
      </c>
      <c r="Y46" s="19">
        <v>6914.7</v>
      </c>
      <c r="Z46" s="19"/>
      <c r="AA46" s="19">
        <f t="shared" si="8"/>
        <v>7928.9000000000015</v>
      </c>
      <c r="AB46" s="60"/>
      <c r="AC46" s="42"/>
      <c r="AD46" s="41"/>
      <c r="AE46" s="19">
        <f>IF(OR(AB46="+",AC46="+",AD46="+"),0,AA46)</f>
        <v>7928.9000000000015</v>
      </c>
      <c r="AF46" s="19"/>
      <c r="AG46" s="19">
        <f>ROUND(AE46-AF46,1)</f>
        <v>7928.9</v>
      </c>
      <c r="AH46" s="57"/>
      <c r="AI46" s="1"/>
      <c r="AJ46" s="1"/>
      <c r="AK46" s="1"/>
      <c r="AL46" s="1"/>
      <c r="AM46" s="1"/>
      <c r="AN46" s="58"/>
    </row>
    <row r="47" spans="1:40" s="22" customFormat="1" ht="17.100000000000001" customHeight="1">
      <c r="A47" s="21" t="s">
        <v>46</v>
      </c>
      <c r="B47" s="21"/>
      <c r="C47" s="21"/>
      <c r="D47" s="23">
        <f>D8+D19</f>
        <v>934684</v>
      </c>
      <c r="E47" s="23">
        <f>E8+E19</f>
        <v>920079.36999999965</v>
      </c>
      <c r="F47" s="53">
        <f>IF(E47/D47&gt;1.2,IF((E47/D47-1.2)*0.1+1.2&gt;1.3,1.3,(E47/D47-1.2)*0.1+1.2),E47/D47)</f>
        <v>0.98437479404804151</v>
      </c>
      <c r="G47" s="21"/>
      <c r="H47" s="23">
        <f>H8+H19</f>
        <v>6461</v>
      </c>
      <c r="I47" s="23">
        <f>I8+I19</f>
        <v>8749</v>
      </c>
      <c r="J47" s="53">
        <f>IF(I47/H47&gt;1.2,IF((I47/H47-1.2)*0.1+1.2&gt;1.3,1.3,(I47/H47-1.2)*0.1+1.2),I47/H47)</f>
        <v>1.2154124748490944</v>
      </c>
      <c r="K47" s="21"/>
      <c r="L47" s="23">
        <f>L8+L19</f>
        <v>4725.5</v>
      </c>
      <c r="M47" s="23">
        <f>M8+M19</f>
        <v>2939.1</v>
      </c>
      <c r="N47" s="53">
        <f>IF(L47/M47&gt;1.2,IF((L47/M47-1.2)*0.1+1.2&gt;1.3,1.3,(L47/M47-1.2)*0.1+1.2),L47/M47)</f>
        <v>1.2407805110407948</v>
      </c>
      <c r="O47" s="21"/>
      <c r="P47" s="21"/>
      <c r="Q47" s="47">
        <f>Q8+Q19</f>
        <v>3854364</v>
      </c>
      <c r="R47" s="23">
        <f>R8+R19</f>
        <v>2102380.5000000005</v>
      </c>
      <c r="S47" s="23">
        <f>S8+S19</f>
        <v>2193824.1999999997</v>
      </c>
      <c r="T47" s="23">
        <f>T8+T19</f>
        <v>91443.699999999953</v>
      </c>
      <c r="U47" s="23">
        <f t="shared" ref="U47:Z47" si="13">U8+U19</f>
        <v>311334.8</v>
      </c>
      <c r="V47" s="23">
        <f t="shared" si="13"/>
        <v>311335.5</v>
      </c>
      <c r="W47" s="23">
        <f t="shared" si="13"/>
        <v>310625.90000000002</v>
      </c>
      <c r="X47" s="23">
        <f t="shared" si="13"/>
        <v>328190.09999999998</v>
      </c>
      <c r="Y47" s="23">
        <f t="shared" si="13"/>
        <v>481590.29999999993</v>
      </c>
      <c r="Z47" s="23">
        <f t="shared" si="13"/>
        <v>53571.8</v>
      </c>
      <c r="AA47" s="23">
        <f>AA8+AA19</f>
        <v>397175.80000000005</v>
      </c>
      <c r="AB47" s="37">
        <f>COUNTIF(AB9:AB46,"+")</f>
        <v>0</v>
      </c>
      <c r="AC47" s="37">
        <f>COUNTIF(AC9:AC46,"+")</f>
        <v>0</v>
      </c>
      <c r="AD47" s="37">
        <f>COUNTIF(AD9:AD46,"+")</f>
        <v>0</v>
      </c>
      <c r="AE47" s="23">
        <f>AE8+AE19</f>
        <v>397175.80000000005</v>
      </c>
      <c r="AF47" s="23">
        <f>AF8+AF19</f>
        <v>11830.5</v>
      </c>
      <c r="AG47" s="23">
        <f>AG8+AG19</f>
        <v>385345.30000000005</v>
      </c>
      <c r="AH47" s="57"/>
      <c r="AI47" s="1"/>
      <c r="AJ47" s="1"/>
      <c r="AK47" s="1"/>
      <c r="AL47" s="1"/>
      <c r="AM47" s="1"/>
    </row>
    <row r="48" spans="1:40" ht="11.25" customHeight="1"/>
    <row r="49" spans="2:31" ht="17.25" customHeight="1">
      <c r="B49" s="39" t="s">
        <v>54</v>
      </c>
      <c r="C49" s="38"/>
      <c r="D49" s="80" t="s">
        <v>56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2:31" ht="17.25" customHeight="1">
      <c r="C50" s="40" t="s">
        <v>55</v>
      </c>
      <c r="D50" s="80" t="s">
        <v>59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2" spans="2:31" ht="15" customHeight="1"/>
  </sheetData>
  <mergeCells count="28">
    <mergeCell ref="AB5:AB6"/>
    <mergeCell ref="AB3:AD4"/>
    <mergeCell ref="D49:R49"/>
    <mergeCell ref="D50:R50"/>
    <mergeCell ref="AA3:AA6"/>
    <mergeCell ref="Z3:Z6"/>
    <mergeCell ref="AC5:AC6"/>
    <mergeCell ref="AD5:AD6"/>
    <mergeCell ref="B1:R1"/>
    <mergeCell ref="U5:U6"/>
    <mergeCell ref="V5:V6"/>
    <mergeCell ref="D3:G5"/>
    <mergeCell ref="H3:K5"/>
    <mergeCell ref="L3:O5"/>
    <mergeCell ref="U3:Y4"/>
    <mergeCell ref="W5:W6"/>
    <mergeCell ref="X5:X6"/>
    <mergeCell ref="Y5:Y6"/>
    <mergeCell ref="AF3:AF6"/>
    <mergeCell ref="AG3:AG6"/>
    <mergeCell ref="AE3:AE6"/>
    <mergeCell ref="A3:A6"/>
    <mergeCell ref="Q3:Q6"/>
    <mergeCell ref="T3:T6"/>
    <mergeCell ref="S3:S6"/>
    <mergeCell ref="P3:P6"/>
    <mergeCell ref="R3:R6"/>
    <mergeCell ref="B3:C5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4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19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85" t="s">
        <v>81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6" t="s">
        <v>49</v>
      </c>
    </row>
    <row r="3" spans="1:15" ht="119.25" customHeight="1">
      <c r="A3" s="86" t="s">
        <v>15</v>
      </c>
      <c r="B3" s="87" t="s">
        <v>41</v>
      </c>
      <c r="C3" s="89" t="s">
        <v>58</v>
      </c>
      <c r="D3" s="89"/>
      <c r="E3" s="89"/>
      <c r="F3" s="90" t="s">
        <v>71</v>
      </c>
      <c r="G3" s="91"/>
      <c r="H3" s="91"/>
      <c r="I3" s="90" t="s">
        <v>72</v>
      </c>
      <c r="J3" s="91"/>
      <c r="K3" s="91"/>
      <c r="L3" s="90" t="s">
        <v>73</v>
      </c>
      <c r="M3" s="91"/>
      <c r="N3" s="92"/>
      <c r="O3" s="88" t="s">
        <v>44</v>
      </c>
    </row>
    <row r="4" spans="1:15" ht="32.1" customHeight="1">
      <c r="A4" s="86"/>
      <c r="B4" s="87"/>
      <c r="C4" s="12" t="s">
        <v>42</v>
      </c>
      <c r="D4" s="12" t="s">
        <v>43</v>
      </c>
      <c r="E4" s="48" t="s">
        <v>74</v>
      </c>
      <c r="F4" s="12" t="s">
        <v>42</v>
      </c>
      <c r="G4" s="12" t="s">
        <v>43</v>
      </c>
      <c r="H4" s="54" t="s">
        <v>75</v>
      </c>
      <c r="I4" s="12" t="s">
        <v>42</v>
      </c>
      <c r="J4" s="12" t="s">
        <v>43</v>
      </c>
      <c r="K4" s="54" t="s">
        <v>76</v>
      </c>
      <c r="L4" s="12" t="s">
        <v>42</v>
      </c>
      <c r="M4" s="12" t="s">
        <v>43</v>
      </c>
      <c r="N4" s="54" t="s">
        <v>77</v>
      </c>
      <c r="O4" s="88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16886.899999999961</v>
      </c>
      <c r="C6" s="28"/>
      <c r="D6" s="28"/>
      <c r="E6" s="28">
        <f>SUM(E7:E16)</f>
        <v>0</v>
      </c>
      <c r="F6" s="28"/>
      <c r="G6" s="28"/>
      <c r="H6" s="28">
        <f>SUM(H7:H16)</f>
        <v>-5034.7095586105197</v>
      </c>
      <c r="I6" s="28"/>
      <c r="J6" s="28"/>
      <c r="K6" s="28">
        <f>SUM(K7:K16)</f>
        <v>-29829.483451312095</v>
      </c>
      <c r="L6" s="28"/>
      <c r="M6" s="28"/>
      <c r="N6" s="28">
        <f>SUM(N7:N16)</f>
        <v>51751.093009922581</v>
      </c>
      <c r="O6" s="28"/>
    </row>
    <row r="7" spans="1:15" ht="15" customHeight="1">
      <c r="A7" s="15" t="s">
        <v>5</v>
      </c>
      <c r="B7" s="29">
        <f ca="1">'Расчет дотаций'!T9</f>
        <v>37053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-3.3125678407006753E-2</v>
      </c>
      <c r="G7" s="33">
        <f ca="1">F7*'Расчет дотаций'!G9</f>
        <v>-0.4968851761051013</v>
      </c>
      <c r="H7" s="32">
        <f ca="1">$B7*G7/$O7</f>
        <v>-2698.3823756147272</v>
      </c>
      <c r="I7" s="33">
        <f ca="1">'Расчет дотаций'!J9-1</f>
        <v>0.21134328358208943</v>
      </c>
      <c r="J7" s="33">
        <f ca="1">I7*'Расчет дотаций'!K9</f>
        <v>4.2268656716417885</v>
      </c>
      <c r="K7" s="32">
        <f t="shared" ref="K7:K16" si="0">$B7*J7/$O7</f>
        <v>22954.397476403221</v>
      </c>
      <c r="L7" s="33">
        <f ca="1">'Расчет дотаций'!N9-1</f>
        <v>0.20620188043285426</v>
      </c>
      <c r="M7" s="33">
        <f ca="1">L7*'Расчет дотаций'!O9</f>
        <v>3.0930282064928138</v>
      </c>
      <c r="N7" s="32">
        <f>$B7*M7/$O7</f>
        <v>16796.984899211508</v>
      </c>
      <c r="O7" s="31">
        <f>D7+G7+J7+M7</f>
        <v>6.8230087020295009</v>
      </c>
    </row>
    <row r="8" spans="1:15" ht="15" customHeight="1">
      <c r="A8" s="15" t="s">
        <v>6</v>
      </c>
      <c r="B8" s="29">
        <f ca="1">'Расчет дотаций'!T10</f>
        <v>-34835.600000000035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-1.1754917789713049E-2</v>
      </c>
      <c r="G8" s="33">
        <f ca="1">F8*'Расчет дотаций'!G10</f>
        <v>-0.17632376684569573</v>
      </c>
      <c r="H8" s="32">
        <f t="shared" ref="H8:H16" si="2">$B8*G8/$O8</f>
        <v>-1169.6563802658079</v>
      </c>
      <c r="I8" s="33">
        <f ca="1">'Расчет дотаций'!J10-1</f>
        <v>-0.44240837696335078</v>
      </c>
      <c r="J8" s="33">
        <f ca="1">I8*'Расчет дотаций'!K10</f>
        <v>-8.8481675392670152</v>
      </c>
      <c r="K8" s="32">
        <f t="shared" si="0"/>
        <v>-58694.955314908613</v>
      </c>
      <c r="L8" s="33">
        <f ca="1">'Расчет дотаций'!N10-1</f>
        <v>0.2515388107126646</v>
      </c>
      <c r="M8" s="33">
        <f ca="1">L8*'Расчет дотаций'!O10</f>
        <v>3.7730821606899689</v>
      </c>
      <c r="N8" s="32">
        <f t="shared" ref="N8:N43" si="3">$B8*M8/$O8</f>
        <v>25029.011695174398</v>
      </c>
      <c r="O8" s="31">
        <f t="shared" ref="O8:O44" si="4">D8+G8+J8+M8</f>
        <v>-5.251409145422743</v>
      </c>
    </row>
    <row r="9" spans="1:15" ht="15" customHeight="1">
      <c r="A9" s="15" t="s">
        <v>7</v>
      </c>
      <c r="B9" s="29">
        <f ca="1">'Расчет дотаций'!T11</f>
        <v>15008.300000000003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-3.5845430882378682E-2</v>
      </c>
      <c r="G9" s="33">
        <f ca="1">F9*'Расчет дотаций'!G11</f>
        <v>-0.53768146323568022</v>
      </c>
      <c r="H9" s="32">
        <f t="shared" si="2"/>
        <v>-810.02074716846266</v>
      </c>
      <c r="I9" s="33">
        <f ca="1">'Расчет дотаций'!J11-1</f>
        <v>0.30000000000000004</v>
      </c>
      <c r="J9" s="33">
        <f ca="1">I9*'Расчет дотаций'!K11</f>
        <v>6.0000000000000009</v>
      </c>
      <c r="K9" s="32">
        <f t="shared" si="0"/>
        <v>9039.0404269534083</v>
      </c>
      <c r="L9" s="33">
        <f ca="1">'Расчет дотаций'!N11-1</f>
        <v>0.30000000000000004</v>
      </c>
      <c r="M9" s="33">
        <f ca="1">L9*'Расчет дотаций'!O11</f>
        <v>4.5000000000000009</v>
      </c>
      <c r="N9" s="32">
        <f t="shared" si="3"/>
        <v>6779.2803202150562</v>
      </c>
      <c r="O9" s="31">
        <f t="shared" si="4"/>
        <v>9.9623185367643217</v>
      </c>
    </row>
    <row r="10" spans="1:15" ht="15" customHeight="1">
      <c r="A10" s="15" t="s">
        <v>8</v>
      </c>
      <c r="B10" s="29">
        <f ca="1">'Расчет дотаций'!T12</f>
        <v>4275.2999999999956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-2.2440259534736606E-2</v>
      </c>
      <c r="G10" s="33">
        <f ca="1">F10*'Расчет дотаций'!G12</f>
        <v>-0.33660389302104909</v>
      </c>
      <c r="H10" s="32">
        <f t="shared" si="2"/>
        <v>-215.626770990799</v>
      </c>
      <c r="I10" s="33">
        <f ca="1">'Расчет дотаций'!J12-1</f>
        <v>0.22947643979057597</v>
      </c>
      <c r="J10" s="33">
        <f ca="1">I10*'Расчет дотаций'!K12</f>
        <v>4.5895287958115194</v>
      </c>
      <c r="K10" s="32">
        <f t="shared" si="0"/>
        <v>2940.0292008751157</v>
      </c>
      <c r="L10" s="33">
        <f ca="1">'Расчет дотаций'!N12-1</f>
        <v>0.16140177690029622</v>
      </c>
      <c r="M10" s="33">
        <f ca="1">L10*'Расчет дотаций'!O12</f>
        <v>2.4210266535044433</v>
      </c>
      <c r="N10" s="32">
        <f t="shared" si="3"/>
        <v>1550.8975701156794</v>
      </c>
      <c r="O10" s="31">
        <f t="shared" si="4"/>
        <v>6.673951556294913</v>
      </c>
    </row>
    <row r="11" spans="1:15" ht="15" customHeight="1">
      <c r="A11" s="15" t="s">
        <v>9</v>
      </c>
      <c r="B11" s="29">
        <f ca="1">'Расчет дотаций'!T13</f>
        <v>781.20000000001164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4.6604635034387165E-2</v>
      </c>
      <c r="G11" s="33">
        <f ca="1">F11*'Расчет дотаций'!G13</f>
        <v>0.69906952551580748</v>
      </c>
      <c r="H11" s="32">
        <f t="shared" si="2"/>
        <v>781.20000000001164</v>
      </c>
      <c r="I11" s="33">
        <f ca="1">'Расчет дотаций'!J13-1</f>
        <v>0</v>
      </c>
      <c r="J11" s="33">
        <f ca="1">I11*'Расчет дотаций'!K13</f>
        <v>0</v>
      </c>
      <c r="K11" s="32">
        <f t="shared" si="0"/>
        <v>0</v>
      </c>
      <c r="L11" s="33">
        <f ca="1">'Расчет дотаций'!N13-1</f>
        <v>0</v>
      </c>
      <c r="M11" s="33">
        <f ca="1">L11*'Расчет дотаций'!O13</f>
        <v>0</v>
      </c>
      <c r="N11" s="32">
        <f t="shared" si="3"/>
        <v>0</v>
      </c>
      <c r="O11" s="31">
        <f t="shared" si="4"/>
        <v>0.69906952551580748</v>
      </c>
    </row>
    <row r="12" spans="1:15" ht="15" customHeight="1">
      <c r="A12" s="15" t="s">
        <v>10</v>
      </c>
      <c r="B12" s="29">
        <f ca="1">'Расчет дотаций'!T14</f>
        <v>2663.6000000000022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-3.2698693823334013E-2</v>
      </c>
      <c r="G12" s="33">
        <f ca="1">F12*'Расчет дотаций'!G14</f>
        <v>-0.49048040735001019</v>
      </c>
      <c r="H12" s="32">
        <f t="shared" si="2"/>
        <v>-207.14420510673048</v>
      </c>
      <c r="I12" s="33">
        <f ca="1">'Расчет дотаций'!J14-1</f>
        <v>0.12565445026178002</v>
      </c>
      <c r="J12" s="33">
        <f ca="1">I12*'Расчет дотаций'!K14</f>
        <v>2.5130890052356003</v>
      </c>
      <c r="K12" s="32">
        <f t="shared" si="0"/>
        <v>1061.3509052574834</v>
      </c>
      <c r="L12" s="33">
        <f ca="1">'Расчет дотаций'!N14-1</f>
        <v>0.28562130177514788</v>
      </c>
      <c r="M12" s="33">
        <f ca="1">L12*'Расчет дотаций'!O14</f>
        <v>4.2843195266272183</v>
      </c>
      <c r="N12" s="32">
        <f t="shared" si="3"/>
        <v>1809.3932998492496</v>
      </c>
      <c r="O12" s="31">
        <f t="shared" si="4"/>
        <v>6.3069281245128082</v>
      </c>
    </row>
    <row r="13" spans="1:15" ht="15" customHeight="1">
      <c r="A13" s="15" t="s">
        <v>11</v>
      </c>
      <c r="B13" s="29">
        <f ca="1">'Расчет дотаций'!T15</f>
        <v>-17588.400000000001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2.1845508563439253E-2</v>
      </c>
      <c r="G13" s="33">
        <f ca="1">F13*'Расчет дотаций'!G15</f>
        <v>0.3276826284515888</v>
      </c>
      <c r="H13" s="32">
        <f t="shared" si="2"/>
        <v>286.89352370749424</v>
      </c>
      <c r="I13" s="33">
        <f ca="1">'Расчет дотаций'!J15-1</f>
        <v>-0.95287958115183247</v>
      </c>
      <c r="J13" s="33">
        <f ca="1">I13*'Расчет дотаций'!K15</f>
        <v>-19.05759162303665</v>
      </c>
      <c r="K13" s="32">
        <f t="shared" si="0"/>
        <v>-16685.350822371001</v>
      </c>
      <c r="L13" s="33">
        <f ca="1">'Расчет дотаций'!N15-1</f>
        <v>-9.0608191973520769E-2</v>
      </c>
      <c r="M13" s="33">
        <f ca="1">L13*'Расчет дотаций'!O15</f>
        <v>-1.3591228796028116</v>
      </c>
      <c r="N13" s="32">
        <f t="shared" si="3"/>
        <v>-1189.9427013364964</v>
      </c>
      <c r="O13" s="31">
        <f>D13+G13+J13+M13</f>
        <v>-20.089031874187871</v>
      </c>
    </row>
    <row r="14" spans="1:15" ht="15" customHeight="1">
      <c r="A14" s="15" t="s">
        <v>12</v>
      </c>
      <c r="B14" s="29">
        <f ca="1">'Расчет дотаций'!T16</f>
        <v>4139.0999999999985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-5.1011447389054387E-2</v>
      </c>
      <c r="G14" s="33">
        <f ca="1">F14*'Расчет дотаций'!G16</f>
        <v>-0.76517171083581581</v>
      </c>
      <c r="H14" s="32">
        <f t="shared" si="2"/>
        <v>-488.610934781298</v>
      </c>
      <c r="I14" s="33">
        <f ca="1">'Расчет дотаций'!J16-1</f>
        <v>0.20156862745098025</v>
      </c>
      <c r="J14" s="33">
        <f ca="1">I14*'Расчет дотаций'!K16</f>
        <v>4.0313725490196051</v>
      </c>
      <c r="K14" s="32">
        <f t="shared" si="0"/>
        <v>2574.2884658876137</v>
      </c>
      <c r="L14" s="33">
        <f ca="1">'Расчет дотаций'!N16-1</f>
        <v>0.2143792633015007</v>
      </c>
      <c r="M14" s="33">
        <f ca="1">L14*'Расчет дотаций'!O16</f>
        <v>3.2156889495225105</v>
      </c>
      <c r="N14" s="32">
        <f t="shared" si="3"/>
        <v>2053.4224688936824</v>
      </c>
      <c r="O14" s="31">
        <f t="shared" si="4"/>
        <v>6.4818897877063</v>
      </c>
    </row>
    <row r="15" spans="1:15" ht="15" customHeight="1">
      <c r="A15" s="15" t="s">
        <v>13</v>
      </c>
      <c r="B15" s="29">
        <f ca="1">'Расчет дотаций'!T17</f>
        <v>5236.7999999999884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-9.7529062452820225E-3</v>
      </c>
      <c r="G15" s="33">
        <f ca="1">F15*'Расчет дотаций'!G17</f>
        <v>-0.14629359367923034</v>
      </c>
      <c r="H15" s="32">
        <f t="shared" si="2"/>
        <v>-170.04786823489709</v>
      </c>
      <c r="I15" s="33">
        <f ca="1">'Расчет дотаций'!J17-1</f>
        <v>0.20827225130890037</v>
      </c>
      <c r="J15" s="33">
        <f ca="1">I15*'Расчет дотаций'!K17</f>
        <v>4.1654450261780074</v>
      </c>
      <c r="K15" s="32">
        <f t="shared" si="0"/>
        <v>4841.8049563012955</v>
      </c>
      <c r="L15" s="33">
        <f ca="1">'Расчет дотаций'!N17-1</f>
        <v>3.240740740740744E-2</v>
      </c>
      <c r="M15" s="33">
        <f ca="1">L15*'Расчет дотаций'!O17</f>
        <v>0.4861111111111116</v>
      </c>
      <c r="N15" s="32">
        <f t="shared" si="3"/>
        <v>565.04291193358995</v>
      </c>
      <c r="O15" s="31">
        <f t="shared" si="4"/>
        <v>4.5052625436098888</v>
      </c>
    </row>
    <row r="16" spans="1:15" ht="15" customHeight="1">
      <c r="A16" s="15" t="s">
        <v>14</v>
      </c>
      <c r="B16" s="29">
        <f ca="1">'Расчет дотаций'!T18</f>
        <v>153.59999999999854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-4.3117857555119321E-2</v>
      </c>
      <c r="G16" s="33">
        <f ca="1">F16*'Расчет дотаций'!G18</f>
        <v>-0.64676786332678982</v>
      </c>
      <c r="H16" s="32">
        <f t="shared" si="2"/>
        <v>-343.31380015530425</v>
      </c>
      <c r="I16" s="33">
        <f ca="1">'Расчет дотаций'!J18-1</f>
        <v>0.20156862745098025</v>
      </c>
      <c r="J16" s="33">
        <f ca="1">I16*'Расчет дотаций'!K18</f>
        <v>4.0313725490196051</v>
      </c>
      <c r="K16" s="32">
        <f t="shared" si="0"/>
        <v>2139.9112542893845</v>
      </c>
      <c r="L16" s="33">
        <f ca="1">'Расчет дотаций'!N18-1</f>
        <v>-0.20634920634920628</v>
      </c>
      <c r="M16" s="33">
        <f ca="1">L16*'Расчет дотаций'!O18</f>
        <v>-3.095238095238094</v>
      </c>
      <c r="N16" s="32">
        <f t="shared" si="3"/>
        <v>-1642.9974541340821</v>
      </c>
      <c r="O16" s="31">
        <f t="shared" si="4"/>
        <v>0.28936659045472135</v>
      </c>
    </row>
    <row r="17" spans="1:15" ht="15" customHeight="1">
      <c r="A17" s="16" t="s">
        <v>17</v>
      </c>
      <c r="B17" s="28">
        <f ca="1">SUM(B18:B44)</f>
        <v>74556.799999999988</v>
      </c>
      <c r="C17" s="28"/>
      <c r="D17" s="28"/>
      <c r="E17" s="28">
        <f ca="1">SUM(E18:E44)</f>
        <v>0</v>
      </c>
      <c r="F17" s="28"/>
      <c r="G17" s="28"/>
      <c r="H17" s="28">
        <f ca="1">SUM(H18:H44)</f>
        <v>2576.9928820712494</v>
      </c>
      <c r="I17" s="28"/>
      <c r="J17" s="28"/>
      <c r="K17" s="28">
        <f ca="1">SUM(K18:K44)</f>
        <v>35418.294102150896</v>
      </c>
      <c r="L17" s="28"/>
      <c r="M17" s="28"/>
      <c r="N17" s="28">
        <f>SUM(N18:N44)</f>
        <v>36561.513015777833</v>
      </c>
      <c r="O17" s="28"/>
    </row>
    <row r="18" spans="1:15" ht="15" customHeight="1">
      <c r="A18" s="17" t="s">
        <v>0</v>
      </c>
      <c r="B18" s="29">
        <f ca="1">'Расчет дотаций'!T20</f>
        <v>3922.9000000000015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1.3548951048951041E-2</v>
      </c>
      <c r="G18" s="33">
        <f ca="1">F18*'Расчет дотаций'!G20</f>
        <v>0.13548951048951041</v>
      </c>
      <c r="H18" s="32">
        <f ca="1">$B18*G18/$O18</f>
        <v>64.394761643956159</v>
      </c>
      <c r="I18" s="33">
        <f ca="1">'Расчет дотаций'!J20-1</f>
        <v>0.28754716981132078</v>
      </c>
      <c r="J18" s="33">
        <f ca="1">I18*'Расчет дотаций'!K20</f>
        <v>4.3132075471698119</v>
      </c>
      <c r="K18" s="32">
        <f t="shared" ref="K18:K44" si="6">$B18*J18/$O18</f>
        <v>2049.9592250162873</v>
      </c>
      <c r="L18" s="33">
        <f ca="1">'Расчет дотаций'!N20-1</f>
        <v>0.25368421052631573</v>
      </c>
      <c r="M18" s="33">
        <f ca="1">L18*'Расчет дотаций'!O20</f>
        <v>3.805263157894736</v>
      </c>
      <c r="N18" s="32">
        <f t="shared" si="3"/>
        <v>1808.5460133397587</v>
      </c>
      <c r="O18" s="31">
        <f t="shared" si="4"/>
        <v>8.2539602155540575</v>
      </c>
    </row>
    <row r="19" spans="1:15" ht="15" customHeight="1">
      <c r="A19" s="17" t="s">
        <v>18</v>
      </c>
      <c r="B19" s="29">
        <f ca="1">'Расчет дотаций'!T21</f>
        <v>2763.8999999999978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3.969989281886388E-2</v>
      </c>
      <c r="G19" s="33">
        <f ca="1">F19*'Расчет дотаций'!G21</f>
        <v>0.3969989281886388</v>
      </c>
      <c r="H19" s="32">
        <f t="shared" ref="H19:H44" si="7">$B19*G19/$O19</f>
        <v>247.70358503370946</v>
      </c>
      <c r="I19" s="33">
        <f ca="1">'Расчет дотаций'!J21-1</f>
        <v>5.7142857142857162E-2</v>
      </c>
      <c r="J19" s="33">
        <f ca="1">I19*'Расчет дотаций'!K21</f>
        <v>0.85714285714285743</v>
      </c>
      <c r="K19" s="32">
        <f t="shared" si="6"/>
        <v>534.8058735801859</v>
      </c>
      <c r="L19" s="33">
        <f ca="1">'Расчет дотаций'!N21-1</f>
        <v>0.2117073170731707</v>
      </c>
      <c r="M19" s="33">
        <f ca="1">L19*'Расчет дотаций'!O21</f>
        <v>3.1756097560975602</v>
      </c>
      <c r="N19" s="32">
        <f t="shared" si="3"/>
        <v>1981.3905413861021</v>
      </c>
      <c r="O19" s="31">
        <f t="shared" si="4"/>
        <v>4.4297515414290567</v>
      </c>
    </row>
    <row r="20" spans="1:15" ht="15" customHeight="1">
      <c r="A20" s="17" t="s">
        <v>19</v>
      </c>
      <c r="B20" s="29">
        <f ca="1">'Расчет дотаций'!T22</f>
        <v>1991.2000000000007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-3.3740831295843488E-2</v>
      </c>
      <c r="G20" s="33">
        <f ca="1">F20*'Расчет дотаций'!G22</f>
        <v>-0.33740831295843488</v>
      </c>
      <c r="H20" s="32">
        <f t="shared" si="7"/>
        <v>-161.40123348017607</v>
      </c>
      <c r="I20" s="33">
        <f ca="1">'Расчет дотаций'!J22-1</f>
        <v>0</v>
      </c>
      <c r="J20" s="33">
        <f ca="1">I20*'Расчет дотаций'!K22</f>
        <v>0</v>
      </c>
      <c r="K20" s="32">
        <f t="shared" si="6"/>
        <v>0</v>
      </c>
      <c r="L20" s="33">
        <f ca="1">'Расчет дотаций'!N22-1</f>
        <v>0.30000000000000004</v>
      </c>
      <c r="M20" s="33">
        <f ca="1">L20*'Расчет дотаций'!O22</f>
        <v>4.5000000000000009</v>
      </c>
      <c r="N20" s="32">
        <f t="shared" si="3"/>
        <v>2152.6012334801771</v>
      </c>
      <c r="O20" s="31">
        <f t="shared" si="4"/>
        <v>4.1625916870415658</v>
      </c>
    </row>
    <row r="21" spans="1:15" ht="15" customHeight="1">
      <c r="A21" s="17" t="s">
        <v>20</v>
      </c>
      <c r="B21" s="29">
        <f ca="1">'Расчет дотаций'!T23</f>
        <v>-2643.7000000000007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-1.6089693154995977E-2</v>
      </c>
      <c r="G21" s="33">
        <f ca="1">F21*'Расчет дотаций'!G23</f>
        <v>-0.16089693154995977</v>
      </c>
      <c r="H21" s="32">
        <f t="shared" si="7"/>
        <v>-85.063804215525764</v>
      </c>
      <c r="I21" s="33">
        <f ca="1">'Расчет дотаций'!J23-1</f>
        <v>-0.62264150943396224</v>
      </c>
      <c r="J21" s="33">
        <f ca="1">I21*'Расчет дотаций'!K23</f>
        <v>-9.3396226415094343</v>
      </c>
      <c r="K21" s="32">
        <f t="shared" si="6"/>
        <v>-4937.7189743209174</v>
      </c>
      <c r="L21" s="33">
        <f ca="1">'Расчет дотаций'!N23-1</f>
        <v>0.30000000000000004</v>
      </c>
      <c r="M21" s="33">
        <f ca="1">L21*'Расчет дотаций'!O23</f>
        <v>4.5000000000000009</v>
      </c>
      <c r="N21" s="32">
        <f t="shared" si="3"/>
        <v>2379.0827785364422</v>
      </c>
      <c r="O21" s="31">
        <f t="shared" si="4"/>
        <v>-5.0005195730593934</v>
      </c>
    </row>
    <row r="22" spans="1:15" ht="15" customHeight="1">
      <c r="A22" s="17" t="s">
        <v>21</v>
      </c>
      <c r="B22" s="29">
        <f ca="1">'Расчет дотаций'!T24</f>
        <v>4266.4000000000015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-9.8009950248756361E-3</v>
      </c>
      <c r="G22" s="33">
        <f ca="1">F22*'Расчет дотаций'!G24</f>
        <v>-9.8009950248756361E-2</v>
      </c>
      <c r="H22" s="32">
        <f t="shared" si="7"/>
        <v>-68.109283139041693</v>
      </c>
      <c r="I22" s="33">
        <f ca="1">'Расчет дотаций'!J24-1</f>
        <v>0.20641509433962257</v>
      </c>
      <c r="J22" s="33">
        <f ca="1">I22*'Расчет дотаций'!K24</f>
        <v>3.0962264150943386</v>
      </c>
      <c r="K22" s="32">
        <f t="shared" si="6"/>
        <v>2151.6362474729062</v>
      </c>
      <c r="L22" s="33">
        <f ca="1">'Расчет дотаций'!N24-1</f>
        <v>0.20941176470588241</v>
      </c>
      <c r="M22" s="33">
        <f ca="1">L22*'Расчет дотаций'!O24</f>
        <v>3.1411764705882361</v>
      </c>
      <c r="N22" s="32">
        <f t="shared" si="3"/>
        <v>2182.8730356661372</v>
      </c>
      <c r="O22" s="31">
        <f t="shared" si="4"/>
        <v>6.1393929354338184</v>
      </c>
    </row>
    <row r="23" spans="1:15" ht="15" customHeight="1">
      <c r="A23" s="17" t="s">
        <v>22</v>
      </c>
      <c r="B23" s="29">
        <f ca="1">'Расчет дотаций'!T25</f>
        <v>-3173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-3.1529790660225321E-2</v>
      </c>
      <c r="G23" s="33">
        <f ca="1">F23*'Расчет дотаций'!G25</f>
        <v>-0.31529790660225321</v>
      </c>
      <c r="H23" s="32">
        <f t="shared" si="7"/>
        <v>-228.06077895653098</v>
      </c>
      <c r="I23" s="33">
        <f ca="1">'Расчет дотаций'!J25-1</f>
        <v>-0.5714285714285714</v>
      </c>
      <c r="J23" s="33">
        <f ca="1">I23*'Расчет дотаций'!K25</f>
        <v>-8.5714285714285712</v>
      </c>
      <c r="K23" s="32">
        <f t="shared" si="6"/>
        <v>-6199.8720443020402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3254.9328232585722</v>
      </c>
      <c r="O23" s="31">
        <f t="shared" si="4"/>
        <v>-4.3867264780308242</v>
      </c>
    </row>
    <row r="24" spans="1:15" ht="15" customHeight="1">
      <c r="A24" s="17" t="s">
        <v>23</v>
      </c>
      <c r="B24" s="29">
        <f ca="1">'Расчет дотаций'!T26</f>
        <v>4083.0999999999985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7.0248044096728357E-2</v>
      </c>
      <c r="G24" s="33">
        <f ca="1">F24*'Расчет дотаций'!G26</f>
        <v>0.70248044096728357</v>
      </c>
      <c r="H24" s="32">
        <f t="shared" si="7"/>
        <v>646.89400107399717</v>
      </c>
      <c r="I24" s="33">
        <f ca="1">'Расчет дотаций'!J26-1</f>
        <v>0.30000000000000004</v>
      </c>
      <c r="J24" s="33">
        <f ca="1">I24*'Расчет дотаций'!K26</f>
        <v>4.5000000000000009</v>
      </c>
      <c r="K24" s="32">
        <f t="shared" si="6"/>
        <v>4143.9203642803805</v>
      </c>
      <c r="L24" s="33">
        <f ca="1">'Расчет дотаций'!N26-1</f>
        <v>-5.1235132662396987E-2</v>
      </c>
      <c r="M24" s="33">
        <f ca="1">L24*'Расчет дотаций'!O26</f>
        <v>-0.76852698993595481</v>
      </c>
      <c r="N24" s="32">
        <f t="shared" si="3"/>
        <v>-707.71436535437897</v>
      </c>
      <c r="O24" s="31">
        <f t="shared" si="4"/>
        <v>4.4339534510313294</v>
      </c>
    </row>
    <row r="25" spans="1:15" ht="15" customHeight="1">
      <c r="A25" s="17" t="s">
        <v>24</v>
      </c>
      <c r="B25" s="29">
        <f ca="1">'Расчет дотаций'!T27</f>
        <v>1917.5999999999985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0.10294642857142855</v>
      </c>
      <c r="G25" s="33">
        <f ca="1">F25*'Расчет дотаций'!G27</f>
        <v>1.0294642857142855</v>
      </c>
      <c r="H25" s="32">
        <f t="shared" si="7"/>
        <v>327.87857808384672</v>
      </c>
      <c r="I25" s="33">
        <f ca="1">'Расчет дотаций'!J27-1</f>
        <v>0.23660377358490559</v>
      </c>
      <c r="J25" s="33">
        <f ca="1">I25*'Расчет дотаций'!K27</f>
        <v>3.5490566037735838</v>
      </c>
      <c r="K25" s="32">
        <f t="shared" si="6"/>
        <v>1130.3545435546341</v>
      </c>
      <c r="L25" s="33">
        <f ca="1">'Расчет дотаций'!N27-1</f>
        <v>9.6153846153846256E-2</v>
      </c>
      <c r="M25" s="33">
        <f ca="1">L25*'Расчет дотаций'!O27</f>
        <v>1.4423076923076938</v>
      </c>
      <c r="N25" s="32">
        <f t="shared" si="3"/>
        <v>459.36687836151771</v>
      </c>
      <c r="O25" s="31">
        <f t="shared" si="4"/>
        <v>6.0208285817955627</v>
      </c>
    </row>
    <row r="26" spans="1:15" ht="15" customHeight="1">
      <c r="A26" s="17" t="s">
        <v>25</v>
      </c>
      <c r="B26" s="29">
        <f ca="1">'Расчет дотаций'!T28</f>
        <v>4312.6000000000022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-0.13081147040878593</v>
      </c>
      <c r="G26" s="33">
        <f ca="1">F26*'Расчет дотаций'!G28</f>
        <v>-1.3081147040878593</v>
      </c>
      <c r="H26" s="32">
        <f t="shared" si="7"/>
        <v>-803.16158638919296</v>
      </c>
      <c r="I26" s="33">
        <f ca="1">'Расчет дотаций'!J28-1</f>
        <v>0.25547169811320747</v>
      </c>
      <c r="J26" s="33">
        <f ca="1">I26*'Расчет дотаций'!K28</f>
        <v>3.8320754716981122</v>
      </c>
      <c r="K26" s="32">
        <f t="shared" si="6"/>
        <v>2352.8332839575301</v>
      </c>
      <c r="L26" s="33">
        <f ca="1">'Расчет дотаций'!N28-1</f>
        <v>0.30000000000000004</v>
      </c>
      <c r="M26" s="33">
        <f ca="1">L26*'Расчет дотаций'!O28</f>
        <v>4.5000000000000009</v>
      </c>
      <c r="N26" s="32">
        <f t="shared" si="3"/>
        <v>2762.9283024316655</v>
      </c>
      <c r="O26" s="31">
        <f t="shared" si="4"/>
        <v>7.0239607676102533</v>
      </c>
    </row>
    <row r="27" spans="1:15" ht="15" customHeight="1">
      <c r="A27" s="17" t="s">
        <v>26</v>
      </c>
      <c r="B27" s="29">
        <f ca="1">'Расчет дотаций'!T29</f>
        <v>2955.9000000000015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-1.1824324324324342E-2</v>
      </c>
      <c r="G27" s="33">
        <f ca="1">F27*'Расчет дотаций'!G29</f>
        <v>-0.11824324324324342</v>
      </c>
      <c r="H27" s="32">
        <f t="shared" si="7"/>
        <v>-42.996476813464881</v>
      </c>
      <c r="I27" s="33">
        <f ca="1">'Расчет дотаций'!J29-1</f>
        <v>0.24981132075471701</v>
      </c>
      <c r="J27" s="33">
        <f ca="1">I27*'Расчет дотаций'!K29</f>
        <v>3.747169811320755</v>
      </c>
      <c r="K27" s="32">
        <f t="shared" si="6"/>
        <v>1362.5734163696052</v>
      </c>
      <c r="L27" s="33">
        <f ca="1">'Расчет дотаций'!N29-1</f>
        <v>0.30000000000000004</v>
      </c>
      <c r="M27" s="33">
        <f ca="1">L27*'Расчет дотаций'!O29</f>
        <v>4.5000000000000009</v>
      </c>
      <c r="N27" s="32">
        <f t="shared" si="3"/>
        <v>1636.3230604438613</v>
      </c>
      <c r="O27" s="31">
        <f t="shared" si="4"/>
        <v>8.128926568077512</v>
      </c>
    </row>
    <row r="28" spans="1:15" ht="15" customHeight="1">
      <c r="A28" s="17" t="s">
        <v>27</v>
      </c>
      <c r="B28" s="29">
        <f ca="1">'Расчет дотаций'!T30</f>
        <v>-4202.9000000000015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7.3779484366429671E-3</v>
      </c>
      <c r="G28" s="33">
        <f ca="1">F28*'Расчет дотаций'!G30</f>
        <v>7.3779484366429671E-2</v>
      </c>
      <c r="H28" s="32">
        <f t="shared" si="7"/>
        <v>50.694213103229067</v>
      </c>
      <c r="I28" s="33">
        <f ca="1">'Расчет дотаций'!J30-1</f>
        <v>0.30000000000000004</v>
      </c>
      <c r="J28" s="33">
        <f ca="1">I28*'Расчет дотаций'!K30</f>
        <v>4.5000000000000009</v>
      </c>
      <c r="K28" s="32">
        <f t="shared" si="6"/>
        <v>3091.9700906493363</v>
      </c>
      <c r="L28" s="33">
        <f ca="1">'Расчет дотаций'!N30-1</f>
        <v>-0.71270718232044206</v>
      </c>
      <c r="M28" s="33">
        <f ca="1">L28*'Расчет дотаций'!O30</f>
        <v>-10.690607734806632</v>
      </c>
      <c r="N28" s="32">
        <f t="shared" si="3"/>
        <v>-7345.5643037525679</v>
      </c>
      <c r="O28" s="31">
        <f t="shared" si="4"/>
        <v>-6.116828250440201</v>
      </c>
    </row>
    <row r="29" spans="1:15" ht="15" customHeight="1">
      <c r="A29" s="17" t="s">
        <v>28</v>
      </c>
      <c r="B29" s="29">
        <f ca="1">'Расчет дотаций'!T31</f>
        <v>3143.1000000000058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3.5736084871385021E-2</v>
      </c>
      <c r="G29" s="33">
        <f ca="1">F29*'Расчет дотаций'!G31</f>
        <v>0.35736084871385021</v>
      </c>
      <c r="H29" s="32">
        <f t="shared" si="7"/>
        <v>305.90846840601455</v>
      </c>
      <c r="I29" s="33">
        <f ca="1">'Расчет дотаций'!J31-1</f>
        <v>0.19318181818181812</v>
      </c>
      <c r="J29" s="33">
        <f ca="1">I29*'Расчет дотаций'!K31</f>
        <v>2.8977272727272716</v>
      </c>
      <c r="K29" s="32">
        <f t="shared" si="6"/>
        <v>2480.516024765031</v>
      </c>
      <c r="L29" s="33">
        <f ca="1">'Расчет дотаций'!N31-1</f>
        <v>2.7777777777777901E-2</v>
      </c>
      <c r="M29" s="33">
        <f ca="1">L29*'Расчет дотаций'!O31</f>
        <v>0.41666666666666852</v>
      </c>
      <c r="N29" s="32">
        <f t="shared" si="3"/>
        <v>356.67550682896035</v>
      </c>
      <c r="O29" s="31">
        <f t="shared" si="4"/>
        <v>3.6717547881077905</v>
      </c>
    </row>
    <row r="30" spans="1:15" ht="15" customHeight="1">
      <c r="A30" s="17" t="s">
        <v>29</v>
      </c>
      <c r="B30" s="29">
        <f ca="1">'Расчет дотаций'!T32</f>
        <v>3132.7000000000007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8.7856743144933969E-3</v>
      </c>
      <c r="G30" s="33">
        <f ca="1">F30*'Расчет дотаций'!G32</f>
        <v>8.7856743144933969E-2</v>
      </c>
      <c r="H30" s="32">
        <f t="shared" si="7"/>
        <v>32.909005210457885</v>
      </c>
      <c r="I30" s="33">
        <f ca="1">'Расчет дотаций'!J32-1</f>
        <v>0.25169811320754709</v>
      </c>
      <c r="J30" s="33">
        <f ca="1">I30*'Расчет дотаций'!K32</f>
        <v>3.7754716981132064</v>
      </c>
      <c r="K30" s="32">
        <f t="shared" si="6"/>
        <v>1414.2001323697846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1685.5908624197589</v>
      </c>
      <c r="O30" s="31">
        <f t="shared" si="4"/>
        <v>8.3633284412581403</v>
      </c>
    </row>
    <row r="31" spans="1:15" ht="15" customHeight="1">
      <c r="A31" s="17" t="s">
        <v>30</v>
      </c>
      <c r="B31" s="29">
        <f ca="1">'Расчет дотаций'!T33</f>
        <v>3118.6999999999971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-3.5428849902534032E-2</v>
      </c>
      <c r="G31" s="33">
        <f ca="1">F31*'Расчет дотаций'!G33</f>
        <v>-0.35428849902534032</v>
      </c>
      <c r="H31" s="32">
        <f t="shared" si="7"/>
        <v>-220.85782691585064</v>
      </c>
      <c r="I31" s="33">
        <f ca="1">'Расчет дотаций'!J33-1</f>
        <v>5.7142857142857162E-2</v>
      </c>
      <c r="J31" s="33">
        <f ca="1">I31*'Расчет дотаций'!K33</f>
        <v>0.85714285714285743</v>
      </c>
      <c r="K31" s="32">
        <f t="shared" si="6"/>
        <v>534.32925230653575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2805.2285746093121</v>
      </c>
      <c r="O31" s="31">
        <f t="shared" si="4"/>
        <v>5.002854358117518</v>
      </c>
    </row>
    <row r="32" spans="1:15" ht="15" customHeight="1">
      <c r="A32" s="17" t="s">
        <v>31</v>
      </c>
      <c r="B32" s="29">
        <f ca="1">'Расчет дотаций'!T34</f>
        <v>2112.2999999999956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8.2339757956073401E-2</v>
      </c>
      <c r="G32" s="33">
        <f ca="1">F32*'Расчет дотаций'!G34</f>
        <v>0.82339757956073401</v>
      </c>
      <c r="H32" s="32">
        <f t="shared" si="7"/>
        <v>556.62981480408087</v>
      </c>
      <c r="I32" s="33">
        <f ca="1">'Расчет дотаций'!J34-1</f>
        <v>0.20857142857142863</v>
      </c>
      <c r="J32" s="33">
        <f ca="1">I32*'Расчет дотаций'!K34</f>
        <v>3.1285714285714294</v>
      </c>
      <c r="K32" s="32">
        <f t="shared" si="6"/>
        <v>2114.963874215036</v>
      </c>
      <c r="L32" s="33">
        <f ca="1">'Расчет дотаций'!N34-1</f>
        <v>-5.5155875299760293E-2</v>
      </c>
      <c r="M32" s="33">
        <f ca="1">L32*'Расчет дотаций'!O34</f>
        <v>-0.8273381294964044</v>
      </c>
      <c r="N32" s="32">
        <f t="shared" si="3"/>
        <v>-559.29368901912119</v>
      </c>
      <c r="O32" s="31">
        <f t="shared" si="4"/>
        <v>3.1246308786357591</v>
      </c>
    </row>
    <row r="33" spans="1:16" ht="15" customHeight="1">
      <c r="A33" s="17" t="s">
        <v>1</v>
      </c>
      <c r="B33" s="29">
        <f ca="1">'Расчет дотаций'!T35</f>
        <v>2768.7999999999956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2.7777420392409047E-2</v>
      </c>
      <c r="G33" s="33">
        <f ca="1">F33*'Расчет дотаций'!G35</f>
        <v>0.27777420392409047</v>
      </c>
      <c r="H33" s="32">
        <f t="shared" si="7"/>
        <v>241.35940475761186</v>
      </c>
      <c r="I33" s="33">
        <f ca="1">'Расчет дотаций'!J35-1</f>
        <v>-3.2520325203251987E-2</v>
      </c>
      <c r="J33" s="33">
        <f ca="1">I33*'Расчет дотаций'!K35</f>
        <v>-0.48780487804877981</v>
      </c>
      <c r="K33" s="32">
        <f t="shared" si="6"/>
        <v>-423.85611529243243</v>
      </c>
      <c r="L33" s="33">
        <f ca="1">'Расчет дотаций'!N35-1</f>
        <v>0.22643799472295512</v>
      </c>
      <c r="M33" s="33">
        <f ca="1">L33*'Расчет дотаций'!O35</f>
        <v>3.3965699208443265</v>
      </c>
      <c r="N33" s="32">
        <f t="shared" si="3"/>
        <v>2951.2967105348162</v>
      </c>
      <c r="O33" s="31">
        <f t="shared" si="4"/>
        <v>3.1865392467196374</v>
      </c>
    </row>
    <row r="34" spans="1:16" ht="15" customHeight="1">
      <c r="A34" s="17" t="s">
        <v>32</v>
      </c>
      <c r="B34" s="29">
        <f ca="1">'Расчет дотаций'!T36</f>
        <v>-3368.9000000000015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-1.5144200228687676E-2</v>
      </c>
      <c r="G34" s="33">
        <f ca="1">F34*'Расчет дотаций'!G36</f>
        <v>-0.15144200228687676</v>
      </c>
      <c r="H34" s="32">
        <f t="shared" si="7"/>
        <v>-95.533409257629543</v>
      </c>
      <c r="I34" s="33">
        <f ca="1">'Расчет дотаций'!J36-1</f>
        <v>-9.9999999999999978E-2</v>
      </c>
      <c r="J34" s="33">
        <f ca="1">I34*'Расчет дотаций'!K36</f>
        <v>-1.4999999999999996</v>
      </c>
      <c r="K34" s="32">
        <f t="shared" si="6"/>
        <v>-946.23758087264775</v>
      </c>
      <c r="L34" s="33">
        <f ca="1">'Расчет дотаций'!N36-1</f>
        <v>-0.24593495934959353</v>
      </c>
      <c r="M34" s="33">
        <f ca="1">L34*'Расчет дотаций'!O36</f>
        <v>-3.6890243902439028</v>
      </c>
      <c r="N34" s="32">
        <f t="shared" si="3"/>
        <v>-2327.1290098697241</v>
      </c>
      <c r="O34" s="31">
        <f t="shared" si="4"/>
        <v>-5.3404663925307787</v>
      </c>
    </row>
    <row r="35" spans="1:16" ht="15" customHeight="1">
      <c r="A35" s="17" t="s">
        <v>33</v>
      </c>
      <c r="B35" s="29">
        <f ca="1">'Расчет дотаций'!T37</f>
        <v>2899.7999999999993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5.6652806652806031E-3</v>
      </c>
      <c r="G35" s="33">
        <f ca="1">F35*'Расчет дотаций'!G37</f>
        <v>5.6652806652806031E-2</v>
      </c>
      <c r="H35" s="32">
        <f t="shared" si="7"/>
        <v>26.274160620297454</v>
      </c>
      <c r="I35" s="33">
        <f ca="1">'Расчет дотаций'!J37-1</f>
        <v>0.21207547169811325</v>
      </c>
      <c r="J35" s="33">
        <f ca="1">I35*'Расчет дотаций'!K37</f>
        <v>3.181132075471699</v>
      </c>
      <c r="K35" s="32">
        <f t="shared" si="6"/>
        <v>1475.3298211251781</v>
      </c>
      <c r="L35" s="33">
        <f ca="1">'Расчет дотаций'!N37-1</f>
        <v>0.20098765432098764</v>
      </c>
      <c r="M35" s="33">
        <f ca="1">L35*'Расчет дотаций'!O37</f>
        <v>3.0148148148148146</v>
      </c>
      <c r="N35" s="32">
        <f t="shared" si="3"/>
        <v>1398.1960182545236</v>
      </c>
      <c r="O35" s="31">
        <f t="shared" si="4"/>
        <v>6.2525996969393196</v>
      </c>
    </row>
    <row r="36" spans="1:16" ht="15" customHeight="1">
      <c r="A36" s="17" t="s">
        <v>34</v>
      </c>
      <c r="B36" s="29">
        <f ca="1">'Расчет дотаций'!T38</f>
        <v>7943.7999999999956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-1.425826287471188E-2</v>
      </c>
      <c r="G36" s="33">
        <f ca="1">F36*'Расчет дотаций'!G38</f>
        <v>-0.1425826287471188</v>
      </c>
      <c r="H36" s="32">
        <f t="shared" si="7"/>
        <v>-139.3368621115406</v>
      </c>
      <c r="I36" s="33">
        <f ca="1">'Расчет дотаций'!J38-1</f>
        <v>0.25142857142857133</v>
      </c>
      <c r="J36" s="33">
        <f ca="1">I36*'Расчет дотаций'!K38</f>
        <v>3.77142857142857</v>
      </c>
      <c r="K36" s="32">
        <f t="shared" si="6"/>
        <v>3685.5753568176947</v>
      </c>
      <c r="L36" s="33">
        <f ca="1">'Расчет дотаций'!N38-1</f>
        <v>0.30000000000000004</v>
      </c>
      <c r="M36" s="33">
        <f ca="1">L36*'Расчет дотаций'!O38</f>
        <v>4.5000000000000009</v>
      </c>
      <c r="N36" s="32">
        <f t="shared" si="3"/>
        <v>4397.5615052938419</v>
      </c>
      <c r="O36" s="31">
        <f t="shared" si="4"/>
        <v>8.1288459426814512</v>
      </c>
    </row>
    <row r="37" spans="1:16" ht="15" customHeight="1">
      <c r="A37" s="17" t="s">
        <v>35</v>
      </c>
      <c r="B37" s="29">
        <f ca="1">'Расчет дотаций'!T39</f>
        <v>3341.5999999999985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-4.6932114882506482E-2</v>
      </c>
      <c r="G37" s="33">
        <f ca="1">F37*'Расчет дотаций'!G39</f>
        <v>-0.46932114882506482</v>
      </c>
      <c r="H37" s="32">
        <f t="shared" si="7"/>
        <v>-317.85022588941666</v>
      </c>
      <c r="I37" s="33">
        <f ca="1">'Расчет дотаций'!J39-1</f>
        <v>0.21207547169811325</v>
      </c>
      <c r="J37" s="33">
        <f ca="1">I37*'Расчет дотаций'!K39</f>
        <v>3.181132075471699</v>
      </c>
      <c r="K37" s="32">
        <f t="shared" si="6"/>
        <v>2154.4384933516717</v>
      </c>
      <c r="L37" s="33">
        <f ca="1">'Расчет дотаций'!N39-1</f>
        <v>0.14814814814814814</v>
      </c>
      <c r="M37" s="33">
        <f ca="1">L37*'Расчет дотаций'!O39</f>
        <v>2.2222222222222223</v>
      </c>
      <c r="N37" s="32">
        <f t="shared" si="3"/>
        <v>1505.0117325377432</v>
      </c>
      <c r="O37" s="31">
        <f t="shared" si="4"/>
        <v>4.9340331488688562</v>
      </c>
    </row>
    <row r="38" spans="1:16" ht="15" customHeight="1">
      <c r="A38" s="17" t="s">
        <v>36</v>
      </c>
      <c r="B38" s="29">
        <f ca="1">'Расчет дотаций'!T40</f>
        <v>7557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3.5868142330120145E-2</v>
      </c>
      <c r="G38" s="33">
        <f ca="1">F38*'Расчет дотаций'!G40</f>
        <v>0.35868142330120145</v>
      </c>
      <c r="H38" s="32">
        <f t="shared" si="7"/>
        <v>342.78205867404154</v>
      </c>
      <c r="I38" s="33">
        <f ca="1">'Расчет дотаций'!J40-1</f>
        <v>0.30000000000000004</v>
      </c>
      <c r="J38" s="33">
        <f ca="1">I38*'Расчет дотаций'!K40</f>
        <v>4.5000000000000009</v>
      </c>
      <c r="K38" s="32">
        <f t="shared" si="6"/>
        <v>4300.5273310122402</v>
      </c>
      <c r="L38" s="33">
        <f ca="1">'Расчет дотаций'!N40-1</f>
        <v>0.20325581395348835</v>
      </c>
      <c r="M38" s="33">
        <f ca="1">L38*'Расчет дотаций'!O40</f>
        <v>3.0488372093023255</v>
      </c>
      <c r="N38" s="32">
        <f t="shared" si="3"/>
        <v>2913.6906103137185</v>
      </c>
      <c r="O38" s="31">
        <f t="shared" si="4"/>
        <v>7.9075186326035283</v>
      </c>
    </row>
    <row r="39" spans="1:16" ht="15" customHeight="1">
      <c r="A39" s="17" t="s">
        <v>37</v>
      </c>
      <c r="B39" s="29">
        <f ca="1">'Расчет дотаций'!T41</f>
        <v>4641.6999999999971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9.2502069234139839E-2</v>
      </c>
      <c r="G39" s="33">
        <f ca="1">F39*'Расчет дотаций'!G41</f>
        <v>0.92502069234139839</v>
      </c>
      <c r="H39" s="32">
        <f t="shared" si="7"/>
        <v>798.94540406782312</v>
      </c>
      <c r="I39" s="33">
        <f ca="1">'Расчет дотаций'!J41-1</f>
        <v>0.16260162601626016</v>
      </c>
      <c r="J39" s="33">
        <f ca="1">I39*'Расчет дотаций'!K41</f>
        <v>2.4390243902439024</v>
      </c>
      <c r="K39" s="32">
        <f t="shared" si="6"/>
        <v>2106.5986340935829</v>
      </c>
      <c r="L39" s="33">
        <f ca="1">'Расчет дотаций'!N41-1</f>
        <v>0.13400833829660508</v>
      </c>
      <c r="M39" s="33">
        <f ca="1">L39*'Расчет дотаций'!O41</f>
        <v>2.0101250744490762</v>
      </c>
      <c r="N39" s="32">
        <f t="shared" si="3"/>
        <v>1736.1559618385913</v>
      </c>
      <c r="O39" s="31">
        <f t="shared" si="4"/>
        <v>5.3741701570343769</v>
      </c>
    </row>
    <row r="40" spans="1:16" ht="15" customHeight="1">
      <c r="A40" s="17" t="s">
        <v>38</v>
      </c>
      <c r="B40" s="29">
        <f ca="1">'Расчет дотаций'!T42</f>
        <v>1393.6999999999971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0.13563788155491774</v>
      </c>
      <c r="G40" s="33">
        <f ca="1">F40*'Расчет дотаций'!G42</f>
        <v>1.3563788155491774</v>
      </c>
      <c r="H40" s="32">
        <f t="shared" si="7"/>
        <v>716.44657717167945</v>
      </c>
      <c r="I40" s="33">
        <f ca="1">'Расчет дотаций'!J42-1</f>
        <v>0.30000000000000004</v>
      </c>
      <c r="J40" s="33">
        <f ca="1">I40*'Расчет дотаций'!K42</f>
        <v>4.5000000000000009</v>
      </c>
      <c r="K40" s="32">
        <f t="shared" si="6"/>
        <v>2376.9241751001582</v>
      </c>
      <c r="L40" s="33">
        <f ca="1">'Расчет дотаций'!N42-1</f>
        <v>-0.21452145214521456</v>
      </c>
      <c r="M40" s="33">
        <f ca="1">L40*'Расчет дотаций'!O42</f>
        <v>-3.2178217821782185</v>
      </c>
      <c r="N40" s="32">
        <f t="shared" si="3"/>
        <v>-1699.6707522718402</v>
      </c>
      <c r="O40" s="31">
        <f t="shared" si="4"/>
        <v>2.6385570333709594</v>
      </c>
    </row>
    <row r="41" spans="1:16" ht="15" customHeight="1">
      <c r="A41" s="17" t="s">
        <v>2</v>
      </c>
      <c r="B41" s="29">
        <f ca="1">'Расчет дотаций'!T43</f>
        <v>4418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2.2623966942148632E-2</v>
      </c>
      <c r="G41" s="33">
        <f ca="1">F41*'Расчет дотаций'!G43</f>
        <v>0.22623966942148632</v>
      </c>
      <c r="H41" s="32">
        <f t="shared" si="7"/>
        <v>149.01915348066697</v>
      </c>
      <c r="I41" s="33">
        <f ca="1">'Расчет дотаций'!J43-1</f>
        <v>0.13207547169811318</v>
      </c>
      <c r="J41" s="33">
        <f ca="1">I41*'Расчет дотаций'!K43</f>
        <v>1.9811320754716977</v>
      </c>
      <c r="K41" s="32">
        <f t="shared" si="6"/>
        <v>1304.928643040844</v>
      </c>
      <c r="L41" s="33">
        <f ca="1">'Расчет дотаций'!N43-1</f>
        <v>0.30000000000000004</v>
      </c>
      <c r="M41" s="33">
        <f ca="1">L41*'Расчет дотаций'!O43</f>
        <v>4.5000000000000009</v>
      </c>
      <c r="N41" s="32">
        <f t="shared" si="3"/>
        <v>2964.0522034784894</v>
      </c>
      <c r="O41" s="31">
        <f t="shared" si="4"/>
        <v>6.7073717448931847</v>
      </c>
    </row>
    <row r="42" spans="1:16" ht="15" customHeight="1">
      <c r="A42" s="17" t="s">
        <v>39</v>
      </c>
      <c r="B42" s="29">
        <f ca="1">'Расчет дотаций'!T44</f>
        <v>4460.4000000000015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-1.570576540755475E-2</v>
      </c>
      <c r="G42" s="33">
        <f ca="1">F42*'Расчет дотаций'!G44</f>
        <v>-0.1570576540755475</v>
      </c>
      <c r="H42" s="32">
        <f t="shared" si="7"/>
        <v>-89.407100024032999</v>
      </c>
      <c r="I42" s="33">
        <f ca="1">'Расчет дотаций'!J44-1</f>
        <v>0.23283018867924521</v>
      </c>
      <c r="J42" s="33">
        <f ca="1">I42*'Расчет дотаций'!K44</f>
        <v>3.4924528301886779</v>
      </c>
      <c r="K42" s="32">
        <f t="shared" si="6"/>
        <v>1988.1239240190002</v>
      </c>
      <c r="L42" s="33">
        <f ca="1">'Расчет дотаций'!N44-1</f>
        <v>0.30000000000000004</v>
      </c>
      <c r="M42" s="33">
        <f ca="1">L42*'Расчет дотаций'!O44</f>
        <v>4.5000000000000009</v>
      </c>
      <c r="N42" s="32">
        <f t="shared" si="3"/>
        <v>2561.6831760050341</v>
      </c>
      <c r="O42" s="31">
        <f t="shared" si="4"/>
        <v>7.8353951761131313</v>
      </c>
    </row>
    <row r="43" spans="1:16" ht="15" customHeight="1">
      <c r="A43" s="17" t="s">
        <v>3</v>
      </c>
      <c r="B43" s="29">
        <f ca="1">'Расчет дотаций'!T45</f>
        <v>4560.2999999999993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3.0098360655737677E-2</v>
      </c>
      <c r="G43" s="33">
        <f ca="1">F43*'Расчет дотаций'!G45</f>
        <v>0.30098360655737677</v>
      </c>
      <c r="H43" s="32">
        <f t="shared" si="7"/>
        <v>157.74946868641177</v>
      </c>
      <c r="I43" s="33">
        <f ca="1">'Расчет дотаций'!J45-1</f>
        <v>0.30000000000000004</v>
      </c>
      <c r="J43" s="33">
        <f ca="1">I43*'Расчет дотаций'!K45</f>
        <v>4.5000000000000009</v>
      </c>
      <c r="K43" s="32">
        <f t="shared" si="6"/>
        <v>2358.509213203708</v>
      </c>
      <c r="L43" s="33">
        <f ca="1">'Расчет дотаций'!N45-1</f>
        <v>0.26</v>
      </c>
      <c r="M43" s="33">
        <f ca="1">L43*'Расчет дотаций'!O45</f>
        <v>3.9000000000000004</v>
      </c>
      <c r="N43" s="32">
        <f t="shared" si="3"/>
        <v>2044.0413181098797</v>
      </c>
      <c r="O43" s="31">
        <f t="shared" si="4"/>
        <v>8.7009836065573776</v>
      </c>
    </row>
    <row r="44" spans="1:16" ht="15" customHeight="1">
      <c r="A44" s="17" t="s">
        <v>40</v>
      </c>
      <c r="B44" s="29">
        <f ca="1">'Расчет дотаций'!T46</f>
        <v>6239.7999999999956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2.2499999999999964E-2</v>
      </c>
      <c r="G44" s="33">
        <f ca="1">F44*'Расчет дотаций'!G46</f>
        <v>0.22499999999999964</v>
      </c>
      <c r="H44" s="32">
        <f t="shared" si="7"/>
        <v>163.18281444582777</v>
      </c>
      <c r="I44" s="33">
        <f ca="1">'Расчет дотаций'!J46-1</f>
        <v>0.25857142857142845</v>
      </c>
      <c r="J44" s="33">
        <f ca="1">I44*'Расчет дотаций'!K46</f>
        <v>3.8785714285714268</v>
      </c>
      <c r="K44" s="32">
        <f t="shared" si="6"/>
        <v>2812.9608966376063</v>
      </c>
      <c r="L44" s="33">
        <f ca="1">'Расчет дотаций'!N46-1</f>
        <v>0.30000000000000004</v>
      </c>
      <c r="M44" s="33">
        <f ca="1">L44*'Расчет дотаций'!O46</f>
        <v>4.5000000000000009</v>
      </c>
      <c r="N44" s="32">
        <f>$B44*M44/$O44</f>
        <v>3263.6562889165616</v>
      </c>
      <c r="O44" s="31">
        <f t="shared" si="4"/>
        <v>8.6035714285714278</v>
      </c>
    </row>
    <row r="45" spans="1:16" s="27" customFormat="1" ht="15" customHeight="1">
      <c r="A45" s="26" t="s">
        <v>46</v>
      </c>
      <c r="B45" s="30">
        <f>B6+B17</f>
        <v>91443.699999999953</v>
      </c>
      <c r="C45" s="30"/>
      <c r="D45" s="30"/>
      <c r="E45" s="30">
        <f>E6+E17</f>
        <v>0</v>
      </c>
      <c r="F45" s="30"/>
      <c r="G45" s="30"/>
      <c r="H45" s="30">
        <f>H6+H17</f>
        <v>-2457.7166765392703</v>
      </c>
      <c r="I45" s="30"/>
      <c r="J45" s="30"/>
      <c r="K45" s="30">
        <f>K6+K17</f>
        <v>5588.8106508388009</v>
      </c>
      <c r="L45" s="30"/>
      <c r="M45" s="30"/>
      <c r="N45" s="30">
        <f>N6+N17</f>
        <v>88312.606025700414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2021-12-01T09:40:58Z</cp:lastPrinted>
  <dcterms:created xsi:type="dcterms:W3CDTF">2010-02-05T14:48:49Z</dcterms:created>
  <dcterms:modified xsi:type="dcterms:W3CDTF">2021-12-01T09:42:07Z</dcterms:modified>
</cp:coreProperties>
</file>